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540" yWindow="0" windowWidth="23860" windowHeight="15960" tabRatio="464"/>
  </bookViews>
  <sheets>
    <sheet name="stat-annex12" sheetId="1" r:id="rId1"/>
    <sheet name="T11-1205chartdetails" sheetId="17" state="hidden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definedNames>
    <definedName name="_xlnm.Print_Area" localSheetId="0">'stat-annex12'!$A$1:$R$55</definedName>
    <definedName name="_xlnm.Print_Area" localSheetId="1">'T11-1205chartdetails'!$A$1:$P$40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6" i="1" l="1"/>
  <c r="H43" i="1"/>
  <c r="Q43" i="1"/>
  <c r="F38" i="1"/>
  <c r="H38" i="1"/>
  <c r="Q38" i="1"/>
  <c r="H44" i="1"/>
  <c r="Q44" i="1"/>
  <c r="K35" i="1"/>
  <c r="K46" i="1"/>
  <c r="D35" i="1"/>
  <c r="R40" i="1"/>
  <c r="D40" i="1"/>
  <c r="H42" i="1"/>
  <c r="Q42" i="1"/>
  <c r="P46" i="1"/>
  <c r="R41" i="1"/>
  <c r="H41" i="1"/>
  <c r="Q41" i="1"/>
  <c r="R37" i="1"/>
  <c r="R38" i="1"/>
  <c r="R46" i="1"/>
  <c r="D36" i="1"/>
  <c r="H36" i="1"/>
  <c r="N36" i="1"/>
  <c r="Q36" i="1"/>
  <c r="H40" i="1"/>
  <c r="Q40" i="1"/>
  <c r="H39" i="1"/>
  <c r="Q39" i="1"/>
  <c r="H15" i="1"/>
  <c r="Q15" i="1"/>
  <c r="H16" i="1"/>
  <c r="Q16" i="1"/>
  <c r="H17" i="1"/>
  <c r="Q17" i="1"/>
  <c r="H18" i="1"/>
  <c r="Q18" i="1"/>
  <c r="D19" i="1"/>
  <c r="F19" i="1"/>
  <c r="H19" i="1"/>
  <c r="Q19" i="1"/>
  <c r="F20" i="1"/>
  <c r="H20" i="1"/>
  <c r="Q20" i="1"/>
  <c r="D21" i="1"/>
  <c r="F21" i="1"/>
  <c r="H21" i="1"/>
  <c r="Q21" i="1"/>
  <c r="D22" i="1"/>
  <c r="F22" i="1"/>
  <c r="H22" i="1"/>
  <c r="Q22" i="1"/>
  <c r="D23" i="1"/>
  <c r="F23" i="1"/>
  <c r="H23" i="1"/>
  <c r="Q23" i="1"/>
  <c r="H24" i="1"/>
  <c r="Q24" i="1"/>
  <c r="H25" i="1"/>
  <c r="Q25" i="1"/>
  <c r="H26" i="1"/>
  <c r="Q26" i="1"/>
  <c r="D27" i="1"/>
  <c r="H27" i="1"/>
  <c r="Q27" i="1"/>
  <c r="H28" i="1"/>
  <c r="Q28" i="1"/>
  <c r="D29" i="1"/>
  <c r="F29" i="1"/>
  <c r="F30" i="1"/>
  <c r="H30" i="1"/>
  <c r="Q30" i="1"/>
  <c r="H31" i="1"/>
  <c r="I31" i="1"/>
  <c r="Q31" i="1"/>
  <c r="H32" i="1"/>
  <c r="Q32" i="1"/>
  <c r="H33" i="1"/>
  <c r="Q33" i="1"/>
  <c r="H34" i="1"/>
  <c r="Q34" i="1"/>
  <c r="F35" i="1"/>
  <c r="H35" i="1"/>
  <c r="Q35" i="1"/>
  <c r="N46" i="1"/>
  <c r="H37" i="1"/>
  <c r="Q37" i="1"/>
  <c r="M46" i="1"/>
  <c r="B36" i="1"/>
  <c r="B46" i="1"/>
  <c r="H9" i="17"/>
  <c r="O9" i="17"/>
  <c r="H10" i="17"/>
  <c r="O10" i="17"/>
  <c r="H11" i="17"/>
  <c r="O11" i="17"/>
  <c r="H12" i="17"/>
  <c r="O12" i="17"/>
  <c r="D13" i="17"/>
  <c r="F13" i="17"/>
  <c r="H13" i="17"/>
  <c r="F14" i="17"/>
  <c r="H14" i="17"/>
  <c r="O14" i="17"/>
  <c r="D15" i="17"/>
  <c r="F15" i="17"/>
  <c r="H15" i="17"/>
  <c r="O15" i="17"/>
  <c r="D16" i="17"/>
  <c r="F16" i="17"/>
  <c r="H16" i="17"/>
  <c r="O16" i="17"/>
  <c r="D17" i="17"/>
  <c r="F17" i="17"/>
  <c r="H17" i="17"/>
  <c r="O17" i="17"/>
  <c r="H18" i="17"/>
  <c r="O18" i="17"/>
  <c r="H19" i="17"/>
  <c r="O19" i="17"/>
  <c r="H20" i="17"/>
  <c r="O20" i="17"/>
  <c r="D21" i="17"/>
  <c r="H21" i="17"/>
  <c r="H22" i="17"/>
  <c r="O22" i="17"/>
  <c r="B23" i="17"/>
  <c r="D23" i="17"/>
  <c r="F23" i="17"/>
  <c r="H23" i="17"/>
  <c r="O23" i="17"/>
  <c r="F24" i="17"/>
  <c r="H24" i="17"/>
  <c r="O24" i="17"/>
  <c r="H25" i="17"/>
  <c r="I25" i="17"/>
  <c r="O25" i="17"/>
  <c r="P25" i="17"/>
  <c r="H26" i="17"/>
  <c r="O26" i="17"/>
  <c r="H27" i="17"/>
  <c r="O27" i="17"/>
  <c r="H28" i="17"/>
  <c r="O28" i="17"/>
  <c r="D29" i="17"/>
  <c r="F29" i="17"/>
  <c r="H29" i="17"/>
  <c r="K29" i="17"/>
  <c r="O29" i="17"/>
  <c r="K33" i="17"/>
  <c r="P29" i="17"/>
  <c r="B30" i="17"/>
  <c r="D30" i="17"/>
  <c r="D31" i="17"/>
  <c r="D33" i="17"/>
  <c r="F30" i="17"/>
  <c r="H30" i="17"/>
  <c r="O30" i="17"/>
  <c r="P30" i="17"/>
  <c r="P33" i="17"/>
  <c r="H31" i="17"/>
  <c r="O31" i="17"/>
  <c r="B33" i="17"/>
  <c r="I33" i="17"/>
  <c r="L33" i="17"/>
  <c r="M33" i="17"/>
  <c r="O13" i="17"/>
  <c r="I46" i="1"/>
  <c r="O21" i="17"/>
  <c r="O33" i="17"/>
  <c r="H33" i="17"/>
  <c r="H29" i="1"/>
  <c r="Q29" i="1"/>
  <c r="F33" i="17"/>
  <c r="D46" i="1"/>
  <c r="F46" i="1"/>
  <c r="H46" i="1"/>
  <c r="Q46" i="1"/>
</calcChain>
</file>

<file path=xl/comments1.xml><?xml version="1.0" encoding="utf-8"?>
<comments xmlns="http://schemas.openxmlformats.org/spreadsheetml/2006/main">
  <authors>
    <author>CLS</author>
  </authors>
  <commentList>
    <comment ref="B30" authorId="0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16 less 1 due to cancellaiton of IND: Torrent $54.4 loan and $20.6 equity
(less $724.0 proj.cost)</t>
        </r>
      </text>
    </comment>
    <comment ref="P30" authorId="0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less $724.0 cancellation of IND: Torrent
</t>
        </r>
      </text>
    </comment>
  </commentList>
</comments>
</file>

<file path=xl/sharedStrings.xml><?xml version="1.0" encoding="utf-8"?>
<sst xmlns="http://schemas.openxmlformats.org/spreadsheetml/2006/main" count="80" uniqueCount="57">
  <si>
    <t>(amounts in $ million)</t>
  </si>
  <si>
    <t>Total</t>
  </si>
  <si>
    <t>No. of</t>
  </si>
  <si>
    <t>Equity</t>
  </si>
  <si>
    <t>Year</t>
  </si>
  <si>
    <t>Loan</t>
  </si>
  <si>
    <t>Funds</t>
  </si>
  <si>
    <t>a/  Net of cancellations.</t>
  </si>
  <si>
    <t>b/  Includes equity investments, lines of equity and equity underwriting.</t>
  </si>
  <si>
    <t>ADB</t>
  </si>
  <si>
    <t>- Data not applicable.</t>
  </si>
  <si>
    <t xml:space="preserve"> Total </t>
  </si>
  <si>
    <t xml:space="preserve"> Project </t>
  </si>
  <si>
    <t xml:space="preserve"> Cost </t>
  </si>
  <si>
    <t>Political</t>
  </si>
  <si>
    <t>Risk</t>
  </si>
  <si>
    <t>Guarantee</t>
  </si>
  <si>
    <t>TOTAL</t>
  </si>
  <si>
    <r>
      <t>Projects</t>
    </r>
    <r>
      <rPr>
        <b/>
        <vertAlign val="superscript"/>
        <sz val="8"/>
        <rFont val="Arial"/>
        <family val="2"/>
      </rPr>
      <t>a</t>
    </r>
  </si>
  <si>
    <r>
      <t>Investment</t>
    </r>
    <r>
      <rPr>
        <b/>
        <vertAlign val="superscript"/>
        <sz val="8"/>
        <rFont val="Arial"/>
        <family val="2"/>
      </rPr>
      <t>b</t>
    </r>
  </si>
  <si>
    <r>
      <t>Approvals</t>
    </r>
    <r>
      <rPr>
        <b/>
        <vertAlign val="superscript"/>
        <sz val="8"/>
        <rFont val="Arial"/>
        <family val="2"/>
      </rPr>
      <t>a</t>
    </r>
  </si>
  <si>
    <t>Partial</t>
  </si>
  <si>
    <t>Credit</t>
  </si>
  <si>
    <t>Complementary Loan/</t>
  </si>
  <si>
    <t>Political Risk Guarantee</t>
  </si>
  <si>
    <t>Co-guarantor Program</t>
  </si>
  <si>
    <t>Table 11</t>
  </si>
  <si>
    <t>Swap</t>
  </si>
  <si>
    <t>with</t>
  </si>
  <si>
    <t>DMCs</t>
  </si>
  <si>
    <t>c</t>
  </si>
  <si>
    <t>c/  Includes an approved project for the expansion of the Grameenphone Telecommunications in Bangladesh.</t>
  </si>
  <si>
    <t>PRIVATE SECTOR LOAN AND EQUITY INVESTMENT APPROVALS, BY YEAR, 1983-2005</t>
  </si>
  <si>
    <t>d</t>
  </si>
  <si>
    <t>d/  Includes an approved project for the Inrastructure Development Finance Co. Limited in India.</t>
  </si>
  <si>
    <t>Projects</t>
  </si>
  <si>
    <t>Approvals</t>
  </si>
  <si>
    <t>Grant</t>
  </si>
  <si>
    <t>TFP</t>
  </si>
  <si>
    <t>B Loan</t>
  </si>
  <si>
    <t>Supply</t>
  </si>
  <si>
    <t xml:space="preserve">Chain </t>
  </si>
  <si>
    <t xml:space="preserve">Loan </t>
  </si>
  <si>
    <t>f</t>
  </si>
  <si>
    <t>g</t>
  </si>
  <si>
    <r>
      <rPr>
        <vertAlign val="superscript"/>
        <sz val="6"/>
        <rFont val="Arial"/>
        <family val="2"/>
      </rPr>
      <t>d</t>
    </r>
    <r>
      <rPr>
        <sz val="6"/>
        <rFont val="Arial"/>
        <family val="2"/>
      </rPr>
      <t xml:space="preserve">   Supplementary approvals are not included in the cumulative count of projects.</t>
    </r>
  </si>
  <si>
    <r>
      <rPr>
        <vertAlign val="superscript"/>
        <sz val="6"/>
        <rFont val="Arial"/>
        <family val="2"/>
      </rPr>
      <t>g</t>
    </r>
    <r>
      <rPr>
        <sz val="6"/>
        <rFont val="Arial"/>
        <family val="2"/>
      </rPr>
      <t xml:space="preserve">   Includes a local currency complementary loan of $100 million.</t>
    </r>
  </si>
  <si>
    <r>
      <t>Finance</t>
    </r>
    <r>
      <rPr>
        <vertAlign val="superscript"/>
        <sz val="8"/>
        <rFont val="Arial"/>
        <family val="2"/>
      </rPr>
      <t>e</t>
    </r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</si>
  <si>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  Net of facilities canceled in full before signing.</t>
    </r>
  </si>
  <si>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   Includes equity investments, lines of equity, and equity underwriting.</t>
    </r>
  </si>
  <si>
    <r>
      <t>Nonsovereign Approvals by Year, 1983–2012</t>
    </r>
    <r>
      <rPr>
        <vertAlign val="superscript"/>
        <sz val="11"/>
        <color indexed="40"/>
        <rFont val="Arial"/>
        <family val="2"/>
      </rPr>
      <t>a, b</t>
    </r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</si>
  <si>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 Includes nonsovereign projects processed by the Private Sector Operations Department and various regional operations departments of ADB. Regional operations departments started nonsovereign operations in 2007.</t>
    </r>
  </si>
  <si>
    <r>
      <t>Investment</t>
    </r>
    <r>
      <rPr>
        <vertAlign val="superscript"/>
        <sz val="8"/>
        <rFont val="Arial"/>
        <family val="2"/>
      </rPr>
      <t>c</t>
    </r>
  </si>
  <si>
    <r>
      <rPr>
        <vertAlign val="superscript"/>
        <sz val="6"/>
        <rFont val="Arial"/>
        <family val="2"/>
      </rPr>
      <t>f</t>
    </r>
    <r>
      <rPr>
        <sz val="6"/>
        <rFont val="Arial"/>
        <family val="2"/>
      </rPr>
      <t xml:space="preserve">   Includes $35 million investment in debt securities.</t>
    </r>
  </si>
  <si>
    <t>- = data not applicable, TFP = Trade Finance Program.</t>
  </si>
  <si>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  Supply Chain Finance is a program that provides guarantees and debt financing (both without government guarantee) through partner financial institutions to support payments throughout the supply chain.  </t>
    </r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</si>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</sst>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11"/>
      <color indexed="40"/>
      <name val="Arial"/>
      <family val="2"/>
    </font>
    <font>
      <u/>
      <sz val="10"/>
      <color theme="10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7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1" fontId="3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1" applyNumberFormat="1" applyFont="1"/>
    <xf numFmtId="4" fontId="2" fillId="0" borderId="0" xfId="0" applyNumberFormat="1" applyFont="1"/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2" fillId="0" borderId="0" xfId="1" applyNumberFormat="1" applyFont="1" applyAlignment="1"/>
    <xf numFmtId="4" fontId="4" fillId="0" borderId="0" xfId="1" applyNumberFormat="1" applyFont="1" applyAlignment="1">
      <alignment horizontal="left"/>
    </xf>
    <xf numFmtId="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Continuous"/>
    </xf>
    <xf numFmtId="4" fontId="3" fillId="0" borderId="0" xfId="1" quotePrefix="1" applyNumberFormat="1" applyFont="1" applyBorder="1" applyAlignment="1">
      <alignment horizontal="center"/>
    </xf>
    <xf numFmtId="4" fontId="3" fillId="0" borderId="0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4" fontId="3" fillId="0" borderId="2" xfId="0" quotePrefix="1" applyNumberFormat="1" applyFont="1" applyBorder="1" applyAlignment="1">
      <alignment horizontal="centerContinuous"/>
    </xf>
    <xf numFmtId="4" fontId="3" fillId="0" borderId="2" xfId="1" applyNumberFormat="1" applyFont="1" applyBorder="1" applyAlignment="1">
      <alignment horizontal="centerContinuous"/>
    </xf>
    <xf numFmtId="4" fontId="3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/>
    <xf numFmtId="43" fontId="2" fillId="0" borderId="0" xfId="1" applyFont="1"/>
    <xf numFmtId="43" fontId="2" fillId="0" borderId="0" xfId="1" applyFont="1" applyAlignment="1"/>
    <xf numFmtId="1" fontId="4" fillId="0" borderId="0" xfId="0" applyNumberFormat="1" applyFont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3" fillId="0" borderId="0" xfId="0" quotePrefix="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2" fillId="0" borderId="0" xfId="1" applyNumberFormat="1" applyFont="1" applyFill="1"/>
    <xf numFmtId="43" fontId="2" fillId="0" borderId="0" xfId="1" applyFont="1" applyFill="1"/>
    <xf numFmtId="4" fontId="2" fillId="0" borderId="0" xfId="0" applyNumberFormat="1" applyFont="1" applyFill="1"/>
    <xf numFmtId="0" fontId="2" fillId="0" borderId="0" xfId="0" applyFont="1" applyFill="1"/>
    <xf numFmtId="1" fontId="2" fillId="0" borderId="0" xfId="0" quotePrefix="1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Continuous"/>
    </xf>
    <xf numFmtId="4" fontId="3" fillId="0" borderId="0" xfId="1" quotePrefix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Continuous"/>
    </xf>
    <xf numFmtId="4" fontId="3" fillId="0" borderId="0" xfId="0" quotePrefix="1" applyNumberFormat="1" applyFont="1" applyFill="1" applyBorder="1" applyAlignment="1">
      <alignment horizontal="center"/>
    </xf>
    <xf numFmtId="1" fontId="3" fillId="0" borderId="2" xfId="0" quotePrefix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Continuous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Continuous"/>
    </xf>
    <xf numFmtId="4" fontId="3" fillId="0" borderId="2" xfId="0" quotePrefix="1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 applyAlignment="1"/>
    <xf numFmtId="4" fontId="2" fillId="0" borderId="0" xfId="1" applyNumberFormat="1" applyFont="1" applyFill="1" applyAlignment="1"/>
    <xf numFmtId="4" fontId="4" fillId="0" borderId="0" xfId="1" applyNumberFormat="1" applyFont="1" applyFill="1" applyAlignment="1">
      <alignment horizontal="left"/>
    </xf>
    <xf numFmtId="2" fontId="2" fillId="0" borderId="0" xfId="0" applyNumberFormat="1" applyFont="1" applyFill="1"/>
    <xf numFmtId="1" fontId="4" fillId="0" borderId="0" xfId="0" applyNumberFormat="1" applyFont="1" applyFill="1" applyAlignment="1">
      <alignment horizontal="left"/>
    </xf>
    <xf numFmtId="4" fontId="3" fillId="0" borderId="3" xfId="1" applyNumberFormat="1" applyFont="1" applyFill="1" applyBorder="1"/>
    <xf numFmtId="43" fontId="3" fillId="0" borderId="3" xfId="1" applyFont="1" applyFill="1" applyBorder="1"/>
    <xf numFmtId="0" fontId="2" fillId="0" borderId="0" xfId="0" applyFont="1" applyFill="1" applyBorder="1"/>
    <xf numFmtId="43" fontId="3" fillId="0" borderId="0" xfId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 vertical="top"/>
    </xf>
    <xf numFmtId="1" fontId="9" fillId="0" borderId="0" xfId="1" applyNumberFormat="1" applyFont="1" applyFill="1" applyBorder="1" applyAlignment="1">
      <alignment horizontal="center" vertical="top"/>
    </xf>
    <xf numFmtId="4" fontId="9" fillId="0" borderId="0" xfId="1" applyNumberFormat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" fontId="9" fillId="0" borderId="0" xfId="0" applyNumberFormat="1" applyFont="1" applyFill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9" fillId="0" borderId="0" xfId="1" applyNumberFormat="1" applyFont="1" applyFill="1" applyAlignment="1">
      <alignment vertical="top"/>
    </xf>
    <xf numFmtId="43" fontId="9" fillId="0" borderId="0" xfId="1" applyFont="1" applyFill="1" applyAlignment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3" fontId="3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43" fontId="3" fillId="0" borderId="0" xfId="1" applyFont="1" applyFill="1" applyBorder="1"/>
    <xf numFmtId="0" fontId="9" fillId="0" borderId="0" xfId="1" applyNumberFormat="1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0" fontId="3" fillId="0" borderId="2" xfId="1" applyNumberFormat="1" applyFont="1" applyFill="1" applyBorder="1" applyAlignment="1">
      <alignment horizontal="center"/>
    </xf>
    <xf numFmtId="0" fontId="3" fillId="0" borderId="2" xfId="0" quotePrefix="1" applyNumberFormat="1" applyFont="1" applyFill="1" applyBorder="1" applyAlignment="1">
      <alignment horizontal="centerContinuous"/>
    </xf>
    <xf numFmtId="4" fontId="2" fillId="0" borderId="0" xfId="1" applyNumberFormat="1" applyFont="1" applyFill="1" applyAlignment="1">
      <alignment horizontal="right" indent="1"/>
    </xf>
    <xf numFmtId="4" fontId="3" fillId="0" borderId="3" xfId="1" applyNumberFormat="1" applyFont="1" applyFill="1" applyBorder="1" applyAlignment="1">
      <alignment horizontal="right" indent="1"/>
    </xf>
    <xf numFmtId="43" fontId="3" fillId="0" borderId="3" xfId="1" applyFont="1" applyFill="1" applyBorder="1" applyAlignment="1"/>
    <xf numFmtId="43" fontId="2" fillId="0" borderId="0" xfId="1" applyFont="1" applyFill="1" applyAlignment="1">
      <alignment horizontal="right"/>
    </xf>
    <xf numFmtId="4" fontId="3" fillId="0" borderId="0" xfId="1" applyNumberFormat="1" applyFont="1" applyFill="1" applyAlignment="1">
      <alignment horizontal="center"/>
    </xf>
    <xf numFmtId="4" fontId="4" fillId="0" borderId="0" xfId="1" applyNumberFormat="1" applyFont="1" applyFill="1"/>
    <xf numFmtId="1" fontId="5" fillId="0" borderId="3" xfId="1" applyNumberFormat="1" applyFont="1" applyFill="1" applyBorder="1" applyAlignment="1">
      <alignment horizontal="center"/>
    </xf>
    <xf numFmtId="4" fontId="4" fillId="0" borderId="2" xfId="0" quotePrefix="1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2" fillId="0" borderId="0" xfId="2" applyFont="1" applyFill="1"/>
    <xf numFmtId="4" fontId="3" fillId="0" borderId="0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PRIVATE SECTOR OPERATIONS, 2000-2004</a:t>
            </a:r>
          </a:p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($ million)</a:t>
            </a:r>
          </a:p>
        </c:rich>
      </c:tx>
      <c:layout>
        <c:manualLayout>
          <c:xMode val="edge"/>
          <c:yMode val="edge"/>
          <c:x val="0.0120481927710843"/>
          <c:y val="0.888891344722261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"/>
          <c:y val="0.0146199247873401"/>
          <c:w val="0.710844209859998"/>
          <c:h val="0.634504735770558"/>
        </c:manualLayout>
      </c:layout>
      <c:barChart>
        <c:barDir val="bar"/>
        <c:grouping val="clustered"/>
        <c:varyColors val="0"/>
        <c:ser>
          <c:idx val="0"/>
          <c:order val="0"/>
          <c:tx>
            <c:v>Total Funds Mobilized (Total Project Cost)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2001.0</c:v>
                </c:pt>
                <c:pt idx="1">
                  <c:v>2002.0</c:v>
                </c:pt>
                <c:pt idx="2">
                  <c:v>2003.0</c:v>
                </c:pt>
                <c:pt idx="3">
                  <c:v>2004.0</c:v>
                </c:pt>
                <c:pt idx="4">
                  <c:v>2005.0</c:v>
                </c:pt>
              </c:numCache>
            </c:numRef>
          </c:cat>
          <c:val>
            <c:numRef>
              <c:f>'T11-1205chartdetails'!$P$27:$P$31</c:f>
              <c:numCache>
                <c:formatCode>#,##0.00</c:formatCode>
                <c:ptCount val="5"/>
                <c:pt idx="0">
                  <c:v>648.0</c:v>
                </c:pt>
                <c:pt idx="1">
                  <c:v>1176.6</c:v>
                </c:pt>
                <c:pt idx="2">
                  <c:v>2300.0</c:v>
                </c:pt>
                <c:pt idx="3">
                  <c:v>2227.7</c:v>
                </c:pt>
                <c:pt idx="4">
                  <c:v>8941.62</c:v>
                </c:pt>
              </c:numCache>
            </c:numRef>
          </c:val>
        </c:ser>
        <c:ser>
          <c:idx val="1"/>
          <c:order val="1"/>
          <c:tx>
            <c:v>Total Bank Approvals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2001.0</c:v>
                </c:pt>
                <c:pt idx="1">
                  <c:v>2002.0</c:v>
                </c:pt>
                <c:pt idx="2">
                  <c:v>2003.0</c:v>
                </c:pt>
                <c:pt idx="3">
                  <c:v>2004.0</c:v>
                </c:pt>
                <c:pt idx="4">
                  <c:v>2005.0</c:v>
                </c:pt>
              </c:numCache>
            </c:numRef>
          </c:cat>
          <c:val>
            <c:numRef>
              <c:f>'T11-1205chartdetails'!$O$27:$O$31</c:f>
              <c:numCache>
                <c:formatCode>#,##0.00</c:formatCode>
                <c:ptCount val="5"/>
                <c:pt idx="0">
                  <c:v>67.86</c:v>
                </c:pt>
                <c:pt idx="1">
                  <c:v>205.526</c:v>
                </c:pt>
                <c:pt idx="2">
                  <c:v>542.65</c:v>
                </c:pt>
                <c:pt idx="3">
                  <c:v>666.9</c:v>
                </c:pt>
                <c:pt idx="4">
                  <c:v>821.5170000000001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942600"/>
        <c:axId val="2120949592"/>
      </c:barChart>
      <c:catAx>
        <c:axId val="2120942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94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94959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crossAx val="2120942600"/>
        <c:crosses val="autoZero"/>
        <c:crossBetween val="between"/>
      </c:valAx>
      <c:spPr>
        <a:solidFill>
          <a:srgbClr val="00808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050247764783"/>
          <c:y val="0.745019920318725"/>
          <c:w val="0.761903719822687"/>
          <c:h val="0.099601593625498"/>
        </c:manualLayout>
      </c:layout>
      <c:overlay val="0"/>
      <c:spPr>
        <a:solidFill>
          <a:srgbClr val="008080"/>
        </a:solidFill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520700</xdr:colOff>
      <xdr:row>4</xdr:row>
      <xdr:rowOff>12700</xdr:rowOff>
    </xdr:to>
    <xdr:pic>
      <xdr:nvPicPr>
        <xdr:cNvPr id="1045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4826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568</xdr:colOff>
      <xdr:row>0</xdr:row>
      <xdr:rowOff>24847</xdr:rowOff>
    </xdr:from>
    <xdr:to>
      <xdr:col>14</xdr:col>
      <xdr:colOff>432392</xdr:colOff>
      <xdr:row>4</xdr:row>
      <xdr:rowOff>69221</xdr:rowOff>
    </xdr:to>
    <xdr:sp macro="" textlink="">
      <xdr:nvSpPr>
        <xdr:cNvPr id="3" name="TextBox 2"/>
        <xdr:cNvSpPr txBox="1"/>
      </xdr:nvSpPr>
      <xdr:spPr>
        <a:xfrm>
          <a:off x="505807" y="24847"/>
          <a:ext cx="5897218" cy="640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approvals, nonsovereign, private sector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42</xdr:row>
      <xdr:rowOff>127000</xdr:rowOff>
    </xdr:from>
    <xdr:to>
      <xdr:col>11</xdr:col>
      <xdr:colOff>190500</xdr:colOff>
      <xdr:row>65</xdr:row>
      <xdr:rowOff>101600</xdr:rowOff>
    </xdr:to>
    <xdr:graphicFrame macro="">
      <xdr:nvGraphicFramePr>
        <xdr:cNvPr id="21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5"/>
  <sheetViews>
    <sheetView tabSelected="1" topLeftCell="B1" zoomScale="160" zoomScaleNormal="160" zoomScalePageLayoutView="160" workbookViewId="0">
      <selection activeCell="R9" sqref="R9"/>
    </sheetView>
  </sheetViews>
  <sheetFormatPr baseColWidth="10" defaultColWidth="9.1640625" defaultRowHeight="11.25" customHeight="1" x14ac:dyDescent="0"/>
  <cols>
    <col min="1" max="1" width="7.5" style="44" customWidth="1"/>
    <col min="2" max="2" width="7.33203125" style="64" customWidth="1"/>
    <col min="3" max="3" width="1.33203125" style="64" bestFit="1" customWidth="1"/>
    <col min="4" max="4" width="8.1640625" style="43" bestFit="1" customWidth="1"/>
    <col min="5" max="5" width="2.33203125" style="43" customWidth="1"/>
    <col min="6" max="6" width="9.83203125" style="43" customWidth="1"/>
    <col min="7" max="7" width="2.5" style="43" customWidth="1"/>
    <col min="8" max="8" width="8.83203125" style="41" customWidth="1"/>
    <col min="9" max="9" width="11.1640625" style="41" customWidth="1"/>
    <col min="10" max="10" width="2.6640625" style="41" customWidth="1"/>
    <col min="11" max="11" width="9.1640625" style="41" bestFit="1"/>
    <col min="12" max="12" width="2.1640625" style="41" customWidth="1"/>
    <col min="13" max="13" width="9.1640625" style="41" bestFit="1"/>
    <col min="14" max="15" width="8.1640625" style="42" customWidth="1"/>
    <col min="16" max="16" width="6.83203125" style="42" customWidth="1"/>
    <col min="17" max="17" width="11" style="43" customWidth="1"/>
    <col min="18" max="16384" width="9.1640625" style="44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2" customHeight="1"/>
    <row r="6" spans="1:18" ht="12" customHeight="1">
      <c r="A6" s="112" t="s">
        <v>56</v>
      </c>
      <c r="B6" s="112"/>
      <c r="C6" s="112"/>
      <c r="D6" s="112"/>
    </row>
    <row r="7" spans="1:18" ht="12" customHeight="1"/>
    <row r="8" spans="1:18" ht="14">
      <c r="A8" s="92" t="s">
        <v>50</v>
      </c>
      <c r="B8" s="39"/>
      <c r="C8" s="39"/>
      <c r="D8" s="40"/>
      <c r="E8" s="40"/>
      <c r="F8" s="40"/>
      <c r="G8" s="40"/>
    </row>
    <row r="9" spans="1:18" ht="13">
      <c r="A9" s="93" t="s">
        <v>0</v>
      </c>
      <c r="B9" s="45"/>
      <c r="C9" s="45"/>
      <c r="Q9" s="94"/>
      <c r="R9" s="94"/>
    </row>
    <row r="10" spans="1:18" ht="9.75" customHeight="1"/>
    <row r="11" spans="1:18" ht="11.25" customHeight="1">
      <c r="A11" s="46"/>
      <c r="B11" s="47"/>
      <c r="C11" s="47"/>
      <c r="D11" s="48"/>
      <c r="E11" s="48"/>
      <c r="F11" s="48"/>
      <c r="G11" s="48"/>
      <c r="H11" s="48" t="s">
        <v>1</v>
      </c>
      <c r="I11" s="111"/>
      <c r="J11" s="111"/>
      <c r="K11" s="48" t="s">
        <v>21</v>
      </c>
      <c r="L11" s="48"/>
      <c r="M11" s="48" t="s">
        <v>14</v>
      </c>
      <c r="N11" s="49"/>
      <c r="O11" s="49" t="s">
        <v>40</v>
      </c>
      <c r="P11" s="49"/>
      <c r="Q11" s="50" t="s">
        <v>1</v>
      </c>
      <c r="R11" s="48" t="s">
        <v>11</v>
      </c>
    </row>
    <row r="12" spans="1:18" ht="11.25" customHeight="1">
      <c r="A12" s="51"/>
      <c r="B12" s="52" t="s">
        <v>2</v>
      </c>
      <c r="C12" s="52"/>
      <c r="D12" s="53"/>
      <c r="E12" s="53"/>
      <c r="F12" s="54" t="s">
        <v>3</v>
      </c>
      <c r="G12" s="54"/>
      <c r="H12" s="55" t="s">
        <v>9</v>
      </c>
      <c r="I12" s="110"/>
      <c r="J12" s="110"/>
      <c r="K12" s="53" t="s">
        <v>22</v>
      </c>
      <c r="L12" s="53"/>
      <c r="M12" s="53" t="s">
        <v>15</v>
      </c>
      <c r="N12" s="56"/>
      <c r="O12" s="74" t="s">
        <v>41</v>
      </c>
      <c r="P12" s="56"/>
      <c r="Q12" s="57" t="s">
        <v>9</v>
      </c>
      <c r="R12" s="101" t="s">
        <v>12</v>
      </c>
    </row>
    <row r="13" spans="1:18" ht="12.75" customHeight="1">
      <c r="A13" s="105" t="s">
        <v>4</v>
      </c>
      <c r="B13" s="58" t="s">
        <v>35</v>
      </c>
      <c r="C13" s="58"/>
      <c r="D13" s="59" t="s">
        <v>42</v>
      </c>
      <c r="E13" s="59"/>
      <c r="F13" s="96" t="s">
        <v>52</v>
      </c>
      <c r="G13" s="104"/>
      <c r="H13" s="59" t="s">
        <v>6</v>
      </c>
      <c r="I13" s="60" t="s">
        <v>39</v>
      </c>
      <c r="J13" s="60"/>
      <c r="K13" s="59" t="s">
        <v>16</v>
      </c>
      <c r="L13" s="59"/>
      <c r="M13" s="59" t="s">
        <v>16</v>
      </c>
      <c r="N13" s="61" t="s">
        <v>38</v>
      </c>
      <c r="O13" s="95" t="s">
        <v>47</v>
      </c>
      <c r="P13" s="62" t="s">
        <v>37</v>
      </c>
      <c r="Q13" s="63" t="s">
        <v>36</v>
      </c>
      <c r="R13" s="59" t="s">
        <v>13</v>
      </c>
    </row>
    <row r="14" spans="1:18" ht="3" customHeight="1">
      <c r="D14" s="41"/>
      <c r="E14" s="41"/>
      <c r="F14" s="41"/>
      <c r="G14" s="41"/>
    </row>
    <row r="15" spans="1:18" ht="12" customHeight="1">
      <c r="A15" s="106">
        <v>1983</v>
      </c>
      <c r="B15" s="108">
        <v>2</v>
      </c>
      <c r="D15" s="42">
        <v>0</v>
      </c>
      <c r="E15" s="41"/>
      <c r="F15" s="97">
        <v>2.96</v>
      </c>
      <c r="G15" s="41"/>
      <c r="H15" s="42">
        <f>D15+F15</f>
        <v>2.96</v>
      </c>
      <c r="I15" s="42">
        <v>0</v>
      </c>
      <c r="K15" s="42">
        <v>0</v>
      </c>
      <c r="L15" s="42"/>
      <c r="M15" s="42">
        <v>0</v>
      </c>
      <c r="N15" s="42">
        <v>0</v>
      </c>
      <c r="Q15" s="100">
        <f t="shared" ref="Q15:Q20" si="0">H15+I15+M15+K15+N15</f>
        <v>2.96</v>
      </c>
      <c r="R15" s="41">
        <v>36</v>
      </c>
    </row>
    <row r="16" spans="1:18" ht="12" customHeight="1">
      <c r="A16" s="106">
        <v>1984</v>
      </c>
      <c r="B16" s="108">
        <v>1</v>
      </c>
      <c r="D16" s="42">
        <v>0</v>
      </c>
      <c r="E16" s="41"/>
      <c r="F16" s="97">
        <v>0.42</v>
      </c>
      <c r="G16" s="41"/>
      <c r="H16" s="42">
        <f>D16+F16</f>
        <v>0.42</v>
      </c>
      <c r="I16" s="42">
        <v>0</v>
      </c>
      <c r="K16" s="42">
        <v>0</v>
      </c>
      <c r="L16" s="42"/>
      <c r="M16" s="42">
        <v>0</v>
      </c>
      <c r="N16" s="42">
        <v>0</v>
      </c>
      <c r="Q16" s="100">
        <f t="shared" si="0"/>
        <v>0.42</v>
      </c>
      <c r="R16" s="41">
        <v>2.8</v>
      </c>
    </row>
    <row r="17" spans="1:18" ht="12" customHeight="1">
      <c r="A17" s="106">
        <v>1985</v>
      </c>
      <c r="B17" s="108">
        <v>3</v>
      </c>
      <c r="D17" s="42">
        <v>0</v>
      </c>
      <c r="E17" s="41"/>
      <c r="F17" s="97">
        <v>3.4</v>
      </c>
      <c r="G17" s="41"/>
      <c r="H17" s="42">
        <f>D17+F17</f>
        <v>3.4</v>
      </c>
      <c r="I17" s="42">
        <v>0</v>
      </c>
      <c r="K17" s="42">
        <v>0</v>
      </c>
      <c r="L17" s="42"/>
      <c r="M17" s="42">
        <v>0</v>
      </c>
      <c r="N17" s="42">
        <v>0</v>
      </c>
      <c r="Q17" s="100">
        <f t="shared" si="0"/>
        <v>3.4</v>
      </c>
      <c r="R17" s="41">
        <v>26.5</v>
      </c>
    </row>
    <row r="18" spans="1:18" ht="12" customHeight="1">
      <c r="A18" s="106">
        <v>1986</v>
      </c>
      <c r="B18" s="108">
        <v>4</v>
      </c>
      <c r="D18" s="42">
        <v>6.46</v>
      </c>
      <c r="E18" s="41"/>
      <c r="F18" s="97">
        <v>6.0129999999999999</v>
      </c>
      <c r="G18" s="41"/>
      <c r="H18" s="42">
        <f>D18+F18</f>
        <v>12.472999999999999</v>
      </c>
      <c r="I18" s="42">
        <v>0</v>
      </c>
      <c r="K18" s="42">
        <v>0</v>
      </c>
      <c r="L18" s="42"/>
      <c r="M18" s="42">
        <v>0</v>
      </c>
      <c r="N18" s="42">
        <v>0</v>
      </c>
      <c r="Q18" s="100">
        <f t="shared" si="0"/>
        <v>12.472999999999999</v>
      </c>
      <c r="R18" s="41">
        <v>20.32</v>
      </c>
    </row>
    <row r="19" spans="1:18" ht="12" customHeight="1">
      <c r="A19" s="106">
        <v>1987</v>
      </c>
      <c r="B19" s="108">
        <v>7</v>
      </c>
      <c r="D19" s="42">
        <f>18+2.5</f>
        <v>20.5</v>
      </c>
      <c r="E19" s="41"/>
      <c r="F19" s="97">
        <f>7+15.605+5</f>
        <v>27.605</v>
      </c>
      <c r="G19" s="41"/>
      <c r="H19" s="42">
        <f>D19+F19</f>
        <v>48.105000000000004</v>
      </c>
      <c r="I19" s="66">
        <v>5</v>
      </c>
      <c r="J19" s="67"/>
      <c r="K19" s="42">
        <v>0</v>
      </c>
      <c r="L19" s="42"/>
      <c r="M19" s="42">
        <v>0</v>
      </c>
      <c r="N19" s="42">
        <v>0</v>
      </c>
      <c r="Q19" s="100">
        <f t="shared" si="0"/>
        <v>53.105000000000004</v>
      </c>
      <c r="R19" s="41">
        <v>519.24</v>
      </c>
    </row>
    <row r="20" spans="1:18" ht="12" customHeight="1">
      <c r="A20" s="106">
        <v>1988</v>
      </c>
      <c r="B20" s="108">
        <v>12</v>
      </c>
      <c r="D20" s="42">
        <v>58</v>
      </c>
      <c r="E20" s="41"/>
      <c r="F20" s="97">
        <f>8+7.67+20</f>
        <v>35.67</v>
      </c>
      <c r="G20" s="41"/>
      <c r="H20" s="42">
        <f t="shared" ref="H20:H35" si="1">D20+F20</f>
        <v>93.67</v>
      </c>
      <c r="I20" s="42">
        <v>0</v>
      </c>
      <c r="K20" s="42">
        <v>0</v>
      </c>
      <c r="L20" s="42"/>
      <c r="M20" s="42">
        <v>0</v>
      </c>
      <c r="N20" s="42">
        <v>0</v>
      </c>
      <c r="Q20" s="100">
        <f t="shared" si="0"/>
        <v>93.67</v>
      </c>
      <c r="R20" s="41">
        <v>502.32</v>
      </c>
    </row>
    <row r="21" spans="1:18" ht="12" customHeight="1">
      <c r="A21" s="106">
        <v>1989</v>
      </c>
      <c r="B21" s="108">
        <v>16</v>
      </c>
      <c r="D21" s="42">
        <f>89.7+6</f>
        <v>95.7</v>
      </c>
      <c r="E21" s="41"/>
      <c r="F21" s="97">
        <f>2+54.39+11.2</f>
        <v>67.59</v>
      </c>
      <c r="G21" s="41"/>
      <c r="H21" s="42">
        <f t="shared" si="1"/>
        <v>163.29000000000002</v>
      </c>
      <c r="I21" s="42">
        <v>51.1</v>
      </c>
      <c r="K21" s="42">
        <v>0</v>
      </c>
      <c r="L21" s="42"/>
      <c r="M21" s="42">
        <v>0</v>
      </c>
      <c r="N21" s="42">
        <v>0</v>
      </c>
      <c r="Q21" s="100">
        <f t="shared" ref="Q21:Q35" si="2">H21+I21+M21+K21+N21</f>
        <v>214.39000000000001</v>
      </c>
      <c r="R21" s="41">
        <v>1038.6600000000001</v>
      </c>
    </row>
    <row r="22" spans="1:18" ht="12" customHeight="1">
      <c r="A22" s="106">
        <v>1990</v>
      </c>
      <c r="B22" s="108">
        <v>17</v>
      </c>
      <c r="D22" s="42">
        <f>72.85+6</f>
        <v>78.849999999999994</v>
      </c>
      <c r="E22" s="41"/>
      <c r="F22" s="97">
        <f>8+23.623+4.32</f>
        <v>35.942999999999998</v>
      </c>
      <c r="G22" s="41"/>
      <c r="H22" s="42">
        <f t="shared" si="1"/>
        <v>114.79299999999999</v>
      </c>
      <c r="I22" s="42">
        <v>24</v>
      </c>
      <c r="K22" s="42">
        <v>0</v>
      </c>
      <c r="L22" s="42"/>
      <c r="M22" s="42">
        <v>0</v>
      </c>
      <c r="N22" s="42">
        <v>0</v>
      </c>
      <c r="Q22" s="100">
        <f t="shared" si="2"/>
        <v>138.79300000000001</v>
      </c>
      <c r="R22" s="41">
        <v>2026.13</v>
      </c>
    </row>
    <row r="23" spans="1:18" ht="12" customHeight="1">
      <c r="A23" s="106">
        <v>1991</v>
      </c>
      <c r="B23" s="108">
        <v>10</v>
      </c>
      <c r="D23" s="42">
        <f>156.8</f>
        <v>156.80000000000001</v>
      </c>
      <c r="E23" s="41"/>
      <c r="F23" s="97">
        <f>20.518</f>
        <v>20.518000000000001</v>
      </c>
      <c r="G23" s="41"/>
      <c r="H23" s="42">
        <f t="shared" si="1"/>
        <v>177.31800000000001</v>
      </c>
      <c r="I23" s="42">
        <v>0</v>
      </c>
      <c r="K23" s="42">
        <v>0</v>
      </c>
      <c r="L23" s="42"/>
      <c r="M23" s="42">
        <v>0</v>
      </c>
      <c r="N23" s="42">
        <v>0</v>
      </c>
      <c r="Q23" s="100">
        <f t="shared" si="2"/>
        <v>177.31800000000001</v>
      </c>
      <c r="R23" s="41">
        <v>1325.18</v>
      </c>
    </row>
    <row r="24" spans="1:18" ht="12" customHeight="1">
      <c r="A24" s="106">
        <v>1992</v>
      </c>
      <c r="B24" s="108">
        <v>4</v>
      </c>
      <c r="D24" s="42">
        <v>50</v>
      </c>
      <c r="E24" s="41"/>
      <c r="F24" s="97">
        <v>5.42</v>
      </c>
      <c r="G24" s="41"/>
      <c r="H24" s="42">
        <f t="shared" si="1"/>
        <v>55.42</v>
      </c>
      <c r="I24" s="42">
        <v>81.5</v>
      </c>
      <c r="K24" s="42">
        <v>0</v>
      </c>
      <c r="L24" s="42"/>
      <c r="M24" s="42">
        <v>0</v>
      </c>
      <c r="N24" s="42">
        <v>0</v>
      </c>
      <c r="Q24" s="100">
        <f t="shared" si="2"/>
        <v>136.92000000000002</v>
      </c>
      <c r="R24" s="41">
        <v>402.29</v>
      </c>
    </row>
    <row r="25" spans="1:18" ht="12" customHeight="1">
      <c r="A25" s="106">
        <v>1993</v>
      </c>
      <c r="B25" s="108">
        <v>8</v>
      </c>
      <c r="D25" s="42">
        <v>182.1</v>
      </c>
      <c r="E25" s="41"/>
      <c r="F25" s="97">
        <v>20.7</v>
      </c>
      <c r="G25" s="41"/>
      <c r="H25" s="42">
        <f t="shared" si="1"/>
        <v>202.79999999999998</v>
      </c>
      <c r="I25" s="42">
        <v>19.3</v>
      </c>
      <c r="K25" s="42">
        <v>0</v>
      </c>
      <c r="L25" s="42"/>
      <c r="M25" s="42">
        <v>0</v>
      </c>
      <c r="N25" s="42">
        <v>0</v>
      </c>
      <c r="Q25" s="100">
        <f t="shared" si="2"/>
        <v>222.1</v>
      </c>
      <c r="R25" s="41">
        <v>1505.7</v>
      </c>
    </row>
    <row r="26" spans="1:18" ht="12" customHeight="1">
      <c r="A26" s="106">
        <v>1994</v>
      </c>
      <c r="B26" s="108">
        <v>10</v>
      </c>
      <c r="D26" s="42">
        <v>0</v>
      </c>
      <c r="E26" s="41"/>
      <c r="F26" s="97">
        <v>48.7</v>
      </c>
      <c r="G26" s="41"/>
      <c r="H26" s="42">
        <f t="shared" si="1"/>
        <v>48.7</v>
      </c>
      <c r="I26" s="42">
        <v>0</v>
      </c>
      <c r="K26" s="42">
        <v>0</v>
      </c>
      <c r="L26" s="42"/>
      <c r="M26" s="42">
        <v>0</v>
      </c>
      <c r="N26" s="42">
        <v>0</v>
      </c>
      <c r="Q26" s="100">
        <f t="shared" si="2"/>
        <v>48.7</v>
      </c>
      <c r="R26" s="41">
        <v>919.2</v>
      </c>
    </row>
    <row r="27" spans="1:18" ht="12" customHeight="1">
      <c r="A27" s="106">
        <v>1995</v>
      </c>
      <c r="B27" s="108">
        <v>7</v>
      </c>
      <c r="D27" s="42">
        <f>86.5-18.5</f>
        <v>68</v>
      </c>
      <c r="E27" s="41"/>
      <c r="F27" s="97">
        <v>99.414000000000001</v>
      </c>
      <c r="G27" s="41"/>
      <c r="H27" s="42">
        <f t="shared" si="1"/>
        <v>167.41399999999999</v>
      </c>
      <c r="I27" s="42">
        <v>5.83</v>
      </c>
      <c r="K27" s="42">
        <v>0</v>
      </c>
      <c r="L27" s="42"/>
      <c r="M27" s="42">
        <v>0</v>
      </c>
      <c r="N27" s="42">
        <v>0</v>
      </c>
      <c r="Q27" s="100">
        <f t="shared" si="2"/>
        <v>173.244</v>
      </c>
      <c r="R27" s="41">
        <v>1050.3219999999999</v>
      </c>
    </row>
    <row r="28" spans="1:18" ht="12" customHeight="1">
      <c r="A28" s="106">
        <v>1996</v>
      </c>
      <c r="B28" s="108">
        <v>7</v>
      </c>
      <c r="D28" s="42">
        <v>98.5</v>
      </c>
      <c r="E28" s="41"/>
      <c r="F28" s="97">
        <v>80.150000000000006</v>
      </c>
      <c r="G28" s="41"/>
      <c r="H28" s="42">
        <f t="shared" si="1"/>
        <v>178.65</v>
      </c>
      <c r="I28" s="42">
        <v>91.5</v>
      </c>
      <c r="K28" s="42">
        <v>0</v>
      </c>
      <c r="L28" s="42"/>
      <c r="M28" s="42">
        <v>0</v>
      </c>
      <c r="N28" s="42">
        <v>0</v>
      </c>
      <c r="Q28" s="100">
        <f t="shared" si="2"/>
        <v>270.14999999999998</v>
      </c>
      <c r="R28" s="41">
        <v>1788.77</v>
      </c>
    </row>
    <row r="29" spans="1:18" ht="12" customHeight="1">
      <c r="A29" s="106">
        <v>1997</v>
      </c>
      <c r="B29" s="108">
        <v>6</v>
      </c>
      <c r="D29" s="42">
        <f>45</f>
        <v>45</v>
      </c>
      <c r="E29" s="41"/>
      <c r="F29" s="97">
        <f>59.5-10</f>
        <v>49.5</v>
      </c>
      <c r="G29" s="41"/>
      <c r="H29" s="42">
        <f t="shared" si="1"/>
        <v>94.5</v>
      </c>
      <c r="I29" s="42">
        <v>0</v>
      </c>
      <c r="K29" s="42">
        <v>0</v>
      </c>
      <c r="L29" s="42"/>
      <c r="M29" s="42">
        <v>0</v>
      </c>
      <c r="N29" s="42">
        <v>0</v>
      </c>
      <c r="Q29" s="100">
        <f t="shared" si="2"/>
        <v>94.5</v>
      </c>
      <c r="R29" s="41">
        <v>1239.69</v>
      </c>
    </row>
    <row r="30" spans="1:18" ht="12" customHeight="1">
      <c r="A30" s="106">
        <v>1998</v>
      </c>
      <c r="B30" s="108">
        <v>6</v>
      </c>
      <c r="D30" s="42">
        <v>136.12</v>
      </c>
      <c r="E30" s="41"/>
      <c r="F30" s="97">
        <f>62.44-20-3</f>
        <v>39.44</v>
      </c>
      <c r="G30" s="41"/>
      <c r="H30" s="42">
        <f t="shared" si="1"/>
        <v>175.56</v>
      </c>
      <c r="I30" s="42">
        <v>151.077</v>
      </c>
      <c r="K30" s="42">
        <v>0</v>
      </c>
      <c r="L30" s="42"/>
      <c r="M30" s="42">
        <v>0</v>
      </c>
      <c r="N30" s="42">
        <v>0</v>
      </c>
      <c r="Q30" s="100">
        <f t="shared" si="2"/>
        <v>326.637</v>
      </c>
      <c r="R30" s="41">
        <v>1152.7</v>
      </c>
    </row>
    <row r="31" spans="1:18" ht="12" customHeight="1">
      <c r="A31" s="106">
        <v>1999</v>
      </c>
      <c r="B31" s="108">
        <v>3</v>
      </c>
      <c r="D31" s="42">
        <v>101.5</v>
      </c>
      <c r="E31" s="41"/>
      <c r="F31" s="97">
        <v>7.4</v>
      </c>
      <c r="G31" s="41"/>
      <c r="H31" s="42">
        <f t="shared" si="1"/>
        <v>108.9</v>
      </c>
      <c r="I31" s="42">
        <f>181.5-120</f>
        <v>61.5</v>
      </c>
      <c r="K31" s="42">
        <v>0</v>
      </c>
      <c r="L31" s="42"/>
      <c r="M31" s="42">
        <v>0</v>
      </c>
      <c r="N31" s="42">
        <v>0</v>
      </c>
      <c r="Q31" s="100">
        <f t="shared" si="2"/>
        <v>170.4</v>
      </c>
      <c r="R31" s="41">
        <v>847.7</v>
      </c>
    </row>
    <row r="32" spans="1:18" ht="12" customHeight="1">
      <c r="A32" s="106">
        <v>2000</v>
      </c>
      <c r="B32" s="108">
        <v>9</v>
      </c>
      <c r="D32" s="42">
        <v>152</v>
      </c>
      <c r="E32" s="68"/>
      <c r="F32" s="97">
        <v>77.650000000000006</v>
      </c>
      <c r="G32" s="41"/>
      <c r="H32" s="42">
        <f t="shared" si="1"/>
        <v>229.65</v>
      </c>
      <c r="I32" s="42">
        <v>45</v>
      </c>
      <c r="K32" s="42">
        <v>0</v>
      </c>
      <c r="L32" s="42"/>
      <c r="M32" s="42">
        <v>0</v>
      </c>
      <c r="N32" s="42">
        <v>0</v>
      </c>
      <c r="Q32" s="100">
        <f t="shared" si="2"/>
        <v>274.64999999999998</v>
      </c>
      <c r="R32" s="41">
        <v>1629.84</v>
      </c>
    </row>
    <row r="33" spans="1:19" ht="12" customHeight="1">
      <c r="A33" s="106">
        <v>2001</v>
      </c>
      <c r="B33" s="108">
        <v>6</v>
      </c>
      <c r="D33" s="42">
        <v>37.5</v>
      </c>
      <c r="E33" s="41"/>
      <c r="F33" s="97">
        <v>30.36</v>
      </c>
      <c r="G33" s="41"/>
      <c r="H33" s="42">
        <f t="shared" si="1"/>
        <v>67.86</v>
      </c>
      <c r="I33" s="42">
        <v>0</v>
      </c>
      <c r="K33" s="42">
        <v>0</v>
      </c>
      <c r="L33" s="42"/>
      <c r="M33" s="42">
        <v>0</v>
      </c>
      <c r="N33" s="42">
        <v>0</v>
      </c>
      <c r="Q33" s="100">
        <f t="shared" si="2"/>
        <v>67.86</v>
      </c>
      <c r="R33" s="41">
        <v>648</v>
      </c>
    </row>
    <row r="34" spans="1:19" ht="12" customHeight="1">
      <c r="A34" s="106">
        <v>2002</v>
      </c>
      <c r="B34" s="108">
        <v>6</v>
      </c>
      <c r="D34" s="42">
        <v>110</v>
      </c>
      <c r="E34" s="41"/>
      <c r="F34" s="97">
        <v>25.53</v>
      </c>
      <c r="G34" s="41"/>
      <c r="H34" s="42">
        <f t="shared" si="1"/>
        <v>135.53</v>
      </c>
      <c r="I34" s="42">
        <v>0</v>
      </c>
      <c r="K34" s="42">
        <v>0</v>
      </c>
      <c r="L34" s="42"/>
      <c r="M34" s="42">
        <v>60</v>
      </c>
      <c r="N34" s="42">
        <v>0</v>
      </c>
      <c r="Q34" s="100">
        <f t="shared" si="2"/>
        <v>195.53</v>
      </c>
      <c r="R34" s="69">
        <v>1136.5999999999999</v>
      </c>
      <c r="S34" s="43"/>
    </row>
    <row r="35" spans="1:19" ht="12" customHeight="1">
      <c r="A35" s="106">
        <v>2003</v>
      </c>
      <c r="B35" s="108">
        <v>7</v>
      </c>
      <c r="D35" s="42">
        <f>187-20-45</f>
        <v>122</v>
      </c>
      <c r="E35" s="41"/>
      <c r="F35" s="97">
        <f>35+0.65</f>
        <v>35.65</v>
      </c>
      <c r="G35" s="41"/>
      <c r="H35" s="42">
        <f t="shared" si="1"/>
        <v>157.65</v>
      </c>
      <c r="I35" s="42">
        <v>170</v>
      </c>
      <c r="K35" s="42">
        <f>65</f>
        <v>65</v>
      </c>
      <c r="L35" s="42"/>
      <c r="M35" s="42">
        <v>0</v>
      </c>
      <c r="N35" s="42">
        <v>150</v>
      </c>
      <c r="Q35" s="100">
        <f t="shared" si="2"/>
        <v>542.65</v>
      </c>
      <c r="R35" s="41">
        <v>2300</v>
      </c>
    </row>
    <row r="36" spans="1:19" ht="12" customHeight="1">
      <c r="A36" s="106">
        <v>2004</v>
      </c>
      <c r="B36" s="108">
        <f>15-1</f>
        <v>14</v>
      </c>
      <c r="C36" s="70"/>
      <c r="D36" s="42">
        <f>292.5-200</f>
        <v>92.5</v>
      </c>
      <c r="E36" s="41"/>
      <c r="F36" s="97">
        <v>164.37</v>
      </c>
      <c r="G36" s="41"/>
      <c r="H36" s="42">
        <f t="shared" ref="H36:H41" si="3">D36+F36</f>
        <v>256.87</v>
      </c>
      <c r="I36" s="42">
        <v>0</v>
      </c>
      <c r="K36" s="42">
        <v>0</v>
      </c>
      <c r="L36" s="42"/>
      <c r="M36" s="42">
        <v>10</v>
      </c>
      <c r="N36" s="42">
        <f>200-200</f>
        <v>0</v>
      </c>
      <c r="Q36" s="100">
        <f t="shared" ref="Q36:Q41" si="4">H36+I36+M36+K36+N36</f>
        <v>266.87</v>
      </c>
      <c r="R36" s="41">
        <v>2227.6999999999998</v>
      </c>
    </row>
    <row r="37" spans="1:19" ht="12" customHeight="1">
      <c r="A37" s="106">
        <v>2005</v>
      </c>
      <c r="B37" s="108">
        <v>13</v>
      </c>
      <c r="C37" s="70"/>
      <c r="D37" s="42">
        <v>513.02</v>
      </c>
      <c r="E37" s="41"/>
      <c r="F37" s="97">
        <v>175.5</v>
      </c>
      <c r="G37" s="44"/>
      <c r="H37" s="42">
        <f t="shared" si="3"/>
        <v>688.52</v>
      </c>
      <c r="I37" s="42">
        <v>0</v>
      </c>
      <c r="K37" s="42">
        <v>18.399999999999999</v>
      </c>
      <c r="L37" s="42"/>
      <c r="M37" s="42">
        <v>0</v>
      </c>
      <c r="N37" s="42">
        <v>0</v>
      </c>
      <c r="Q37" s="100">
        <f t="shared" si="4"/>
        <v>706.92</v>
      </c>
      <c r="R37" s="41">
        <f>8776.42-100</f>
        <v>8676.42</v>
      </c>
    </row>
    <row r="38" spans="1:19" ht="12" customHeight="1">
      <c r="A38" s="106">
        <v>2006</v>
      </c>
      <c r="B38" s="108">
        <v>18</v>
      </c>
      <c r="C38" s="70"/>
      <c r="D38" s="42">
        <v>450</v>
      </c>
      <c r="E38" s="41"/>
      <c r="F38" s="97">
        <f>235.5-5</f>
        <v>230.5</v>
      </c>
      <c r="G38" s="44"/>
      <c r="H38" s="42">
        <f t="shared" si="3"/>
        <v>680.5</v>
      </c>
      <c r="I38" s="42">
        <v>330</v>
      </c>
      <c r="K38" s="42">
        <v>109.8</v>
      </c>
      <c r="L38" s="42"/>
      <c r="M38" s="42">
        <v>15</v>
      </c>
      <c r="N38" s="42">
        <v>0</v>
      </c>
      <c r="Q38" s="100">
        <f t="shared" si="4"/>
        <v>1135.3</v>
      </c>
      <c r="R38" s="41">
        <f>8580.84-50-652.5-200</f>
        <v>7678.34</v>
      </c>
    </row>
    <row r="39" spans="1:19" ht="12" customHeight="1">
      <c r="A39" s="106">
        <v>2007</v>
      </c>
      <c r="B39" s="108">
        <v>21</v>
      </c>
      <c r="C39" s="70"/>
      <c r="D39" s="42">
        <v>650.27</v>
      </c>
      <c r="E39" s="41"/>
      <c r="F39" s="97">
        <v>79.75</v>
      </c>
      <c r="G39" s="44"/>
      <c r="H39" s="42">
        <f t="shared" si="3"/>
        <v>730.02</v>
      </c>
      <c r="I39" s="42">
        <v>200</v>
      </c>
      <c r="K39" s="42">
        <v>251</v>
      </c>
      <c r="L39" s="42"/>
      <c r="M39" s="42">
        <v>0</v>
      </c>
      <c r="N39" s="42">
        <v>0</v>
      </c>
      <c r="Q39" s="100">
        <f t="shared" si="4"/>
        <v>1181.02</v>
      </c>
      <c r="R39" s="41">
        <v>3494.54</v>
      </c>
    </row>
    <row r="40" spans="1:19" ht="12" customHeight="1">
      <c r="A40" s="106">
        <v>2008</v>
      </c>
      <c r="B40" s="108">
        <v>12</v>
      </c>
      <c r="C40" s="70"/>
      <c r="D40" s="42">
        <f>1521.582-225</f>
        <v>1296.5820000000001</v>
      </c>
      <c r="E40" s="41"/>
      <c r="F40" s="97">
        <v>103.08</v>
      </c>
      <c r="G40" s="44"/>
      <c r="H40" s="42">
        <f t="shared" si="3"/>
        <v>1399.662</v>
      </c>
      <c r="I40" s="42">
        <v>425</v>
      </c>
      <c r="K40" s="42">
        <v>0</v>
      </c>
      <c r="L40" s="42"/>
      <c r="M40" s="42">
        <v>0</v>
      </c>
      <c r="Q40" s="100">
        <f t="shared" si="4"/>
        <v>1824.662</v>
      </c>
      <c r="R40" s="41">
        <f>9992.493-100-225</f>
        <v>9667.4930000000004</v>
      </c>
    </row>
    <row r="41" spans="1:19" ht="12" customHeight="1">
      <c r="A41" s="106">
        <v>2009</v>
      </c>
      <c r="B41" s="108">
        <v>11</v>
      </c>
      <c r="C41" s="70"/>
      <c r="D41" s="42">
        <v>437.87</v>
      </c>
      <c r="E41" s="41"/>
      <c r="F41" s="97">
        <v>220</v>
      </c>
      <c r="G41" s="44"/>
      <c r="H41" s="42">
        <f t="shared" si="3"/>
        <v>657.87</v>
      </c>
      <c r="I41" s="42">
        <v>276.2</v>
      </c>
      <c r="K41" s="42">
        <v>0</v>
      </c>
      <c r="L41" s="42"/>
      <c r="M41" s="42"/>
      <c r="N41" s="42">
        <v>850</v>
      </c>
      <c r="Q41" s="100">
        <f t="shared" si="4"/>
        <v>1784.07</v>
      </c>
      <c r="R41" s="41">
        <f>4505.92-172.4</f>
        <v>4333.5200000000004</v>
      </c>
    </row>
    <row r="42" spans="1:19" ht="12" customHeight="1">
      <c r="A42" s="106">
        <v>2010</v>
      </c>
      <c r="B42" s="108">
        <v>19</v>
      </c>
      <c r="C42" s="70"/>
      <c r="D42" s="42">
        <v>1034.7</v>
      </c>
      <c r="E42" s="41"/>
      <c r="F42" s="97">
        <v>235</v>
      </c>
      <c r="G42" s="44"/>
      <c r="H42" s="42">
        <f>F42+D42</f>
        <v>1269.7</v>
      </c>
      <c r="I42" s="42">
        <v>320</v>
      </c>
      <c r="K42" s="42">
        <v>500</v>
      </c>
      <c r="L42" s="42"/>
      <c r="M42" s="42">
        <v>0</v>
      </c>
      <c r="N42" s="42">
        <v>0</v>
      </c>
      <c r="P42" s="42">
        <v>2</v>
      </c>
      <c r="Q42" s="100">
        <f>SUM(H42:P42)</f>
        <v>2091.6999999999998</v>
      </c>
      <c r="R42" s="41">
        <v>5942.42</v>
      </c>
    </row>
    <row r="43" spans="1:19" ht="12" customHeight="1">
      <c r="A43" s="106">
        <v>2011</v>
      </c>
      <c r="B43" s="108">
        <v>17</v>
      </c>
      <c r="C43" s="70"/>
      <c r="D43" s="42">
        <v>1600</v>
      </c>
      <c r="E43" s="41"/>
      <c r="F43" s="97">
        <v>89</v>
      </c>
      <c r="G43" s="44"/>
      <c r="H43" s="42">
        <f>F43+D43</f>
        <v>1689</v>
      </c>
      <c r="I43" s="42">
        <v>200</v>
      </c>
      <c r="K43" s="42">
        <v>216.61</v>
      </c>
      <c r="L43" s="42"/>
      <c r="M43" s="42">
        <v>200</v>
      </c>
      <c r="N43" s="42">
        <v>0</v>
      </c>
      <c r="P43" s="42">
        <v>0</v>
      </c>
      <c r="Q43" s="100">
        <f>SUM(H43:P43)</f>
        <v>2305.61</v>
      </c>
      <c r="R43" s="41">
        <v>10838.76</v>
      </c>
    </row>
    <row r="44" spans="1:19" ht="12" customHeight="1">
      <c r="A44" s="106">
        <v>2012</v>
      </c>
      <c r="B44" s="108">
        <v>22</v>
      </c>
      <c r="C44" s="70"/>
      <c r="D44" s="42">
        <v>1106.8399999999999</v>
      </c>
      <c r="E44" s="102" t="s">
        <v>43</v>
      </c>
      <c r="F44" s="97">
        <v>131</v>
      </c>
      <c r="G44" s="44"/>
      <c r="H44" s="42">
        <f>F44+D44</f>
        <v>1237.8399999999999</v>
      </c>
      <c r="I44" s="42">
        <v>200</v>
      </c>
      <c r="J44" s="102" t="s">
        <v>44</v>
      </c>
      <c r="K44" s="42">
        <v>128</v>
      </c>
      <c r="L44" s="42"/>
      <c r="M44" s="42">
        <v>275</v>
      </c>
      <c r="N44" s="42">
        <v>0</v>
      </c>
      <c r="O44" s="42">
        <v>200</v>
      </c>
      <c r="P44" s="42">
        <v>0</v>
      </c>
      <c r="Q44" s="100">
        <f>SUM(H44:P44)</f>
        <v>2040.84</v>
      </c>
      <c r="R44" s="41">
        <v>10514.9</v>
      </c>
    </row>
    <row r="45" spans="1:19" ht="3" customHeight="1">
      <c r="A45" s="65"/>
      <c r="B45" s="108"/>
      <c r="D45" s="41"/>
      <c r="E45" s="41"/>
      <c r="F45" s="97"/>
      <c r="G45" s="41"/>
      <c r="Q45" s="97"/>
    </row>
    <row r="46" spans="1:19" ht="14.25" customHeight="1">
      <c r="A46" s="107" t="s">
        <v>17</v>
      </c>
      <c r="B46" s="109">
        <f>SUM(B15:B44)-10</f>
        <v>288</v>
      </c>
      <c r="C46" s="103" t="s">
        <v>33</v>
      </c>
      <c r="D46" s="72">
        <f>SUM(D15:D44)</f>
        <v>8700.8119999999999</v>
      </c>
      <c r="E46" s="71"/>
      <c r="F46" s="98">
        <f>SUM(F15:F45)</f>
        <v>2148.2329999999997</v>
      </c>
      <c r="G46" s="71"/>
      <c r="H46" s="72">
        <f>F46+D46-0.01</f>
        <v>10849.035</v>
      </c>
      <c r="I46" s="72">
        <f>SUM(I15:I45)</f>
        <v>2657.0070000000001</v>
      </c>
      <c r="J46" s="71"/>
      <c r="K46" s="72">
        <f>SUM(K15:K45)</f>
        <v>1288.81</v>
      </c>
      <c r="L46" s="71"/>
      <c r="M46" s="72">
        <f>SUM(M15:M45)</f>
        <v>560</v>
      </c>
      <c r="N46" s="72">
        <f>SUM(N15:N45)</f>
        <v>1000</v>
      </c>
      <c r="O46" s="72">
        <f>SUM(O15:O45)</f>
        <v>200</v>
      </c>
      <c r="P46" s="72">
        <f>SUM(P15:P45)</f>
        <v>2</v>
      </c>
      <c r="Q46" s="99">
        <f>SUM(Q15:Q45)</f>
        <v>16556.862000000001</v>
      </c>
      <c r="R46" s="71">
        <f>SUM(R15:R45)-0.01</f>
        <v>83492.044999999998</v>
      </c>
    </row>
    <row r="47" spans="1:19" ht="6" customHeight="1">
      <c r="A47" s="86"/>
      <c r="B47" s="87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90"/>
      <c r="P47" s="90"/>
      <c r="Q47" s="90"/>
      <c r="R47" s="89"/>
    </row>
    <row r="48" spans="1:19" ht="9.75" customHeight="1">
      <c r="A48" s="75" t="s">
        <v>54</v>
      </c>
      <c r="B48" s="76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8"/>
      <c r="P48" s="78"/>
      <c r="Q48" s="77"/>
      <c r="S48" s="43"/>
    </row>
    <row r="49" spans="1:17" ht="9.75" customHeight="1">
      <c r="A49" s="79" t="s">
        <v>51</v>
      </c>
      <c r="B49" s="80"/>
      <c r="C49" s="80"/>
      <c r="D49" s="81"/>
      <c r="E49" s="81"/>
      <c r="F49" s="81"/>
      <c r="G49" s="81"/>
      <c r="H49" s="82"/>
      <c r="I49" s="82"/>
      <c r="J49" s="82"/>
      <c r="K49" s="82"/>
      <c r="L49" s="82"/>
      <c r="M49" s="82"/>
      <c r="N49" s="83"/>
      <c r="O49" s="83"/>
      <c r="P49" s="83"/>
      <c r="Q49" s="81"/>
    </row>
    <row r="50" spans="1:17" ht="9.75" customHeight="1">
      <c r="A50" s="79" t="s">
        <v>48</v>
      </c>
      <c r="B50" s="80"/>
      <c r="C50" s="80"/>
      <c r="D50" s="81"/>
      <c r="E50" s="81"/>
      <c r="F50" s="81"/>
      <c r="G50" s="81"/>
      <c r="H50" s="82"/>
      <c r="I50" s="82"/>
      <c r="J50" s="82"/>
      <c r="K50" s="82"/>
      <c r="L50" s="82"/>
      <c r="M50" s="82"/>
      <c r="N50" s="83"/>
      <c r="O50" s="83"/>
      <c r="P50" s="83"/>
      <c r="Q50" s="81"/>
    </row>
    <row r="51" spans="1:17" ht="9.75" customHeight="1">
      <c r="A51" s="79" t="s">
        <v>49</v>
      </c>
      <c r="B51" s="80"/>
      <c r="C51" s="80"/>
      <c r="D51" s="81"/>
      <c r="E51" s="81"/>
      <c r="F51" s="81"/>
      <c r="G51" s="81"/>
      <c r="H51" s="82"/>
      <c r="I51" s="82"/>
      <c r="J51" s="82"/>
      <c r="K51" s="82"/>
      <c r="L51" s="82"/>
      <c r="M51" s="82"/>
      <c r="N51" s="83"/>
      <c r="O51" s="83"/>
      <c r="P51" s="83"/>
      <c r="Q51" s="81"/>
    </row>
    <row r="52" spans="1:17" ht="9.75" customHeight="1">
      <c r="A52" s="79" t="s">
        <v>45</v>
      </c>
      <c r="B52" s="80"/>
      <c r="C52" s="80"/>
      <c r="D52" s="81"/>
      <c r="E52" s="81"/>
      <c r="F52" s="81"/>
      <c r="G52" s="81"/>
      <c r="H52" s="82"/>
      <c r="I52" s="82"/>
      <c r="J52" s="82"/>
      <c r="K52" s="82"/>
      <c r="L52" s="82"/>
      <c r="M52" s="82"/>
      <c r="N52" s="83"/>
      <c r="O52" s="83"/>
      <c r="P52" s="83"/>
      <c r="Q52" s="81"/>
    </row>
    <row r="53" spans="1:17" s="73" customFormat="1" ht="9.75" customHeight="1">
      <c r="A53" s="91" t="s">
        <v>55</v>
      </c>
      <c r="B53" s="84"/>
      <c r="C53" s="84"/>
      <c r="D53" s="85"/>
      <c r="E53" s="85"/>
      <c r="F53" s="85"/>
      <c r="G53" s="85"/>
      <c r="H53" s="77"/>
      <c r="I53" s="77"/>
      <c r="J53" s="77"/>
      <c r="K53" s="77"/>
      <c r="L53" s="77"/>
      <c r="M53" s="77"/>
      <c r="N53" s="78"/>
      <c r="O53" s="78"/>
      <c r="P53" s="78"/>
      <c r="Q53" s="85"/>
    </row>
    <row r="54" spans="1:17" ht="9.75" customHeight="1">
      <c r="A54" s="79" t="s">
        <v>53</v>
      </c>
      <c r="B54" s="80"/>
      <c r="C54" s="80"/>
      <c r="D54" s="81"/>
      <c r="E54" s="81"/>
      <c r="F54" s="81"/>
      <c r="G54" s="81"/>
      <c r="H54" s="82"/>
      <c r="I54" s="82"/>
      <c r="J54" s="82"/>
      <c r="K54" s="82"/>
      <c r="L54" s="82"/>
      <c r="M54" s="82"/>
      <c r="N54" s="83"/>
      <c r="O54" s="83"/>
      <c r="P54" s="83"/>
      <c r="Q54" s="81"/>
    </row>
    <row r="55" spans="1:17" ht="9.75" customHeight="1">
      <c r="A55" s="79" t="s">
        <v>46</v>
      </c>
      <c r="B55" s="80"/>
      <c r="C55" s="80"/>
      <c r="D55" s="81"/>
      <c r="E55" s="81"/>
      <c r="F55" s="81"/>
      <c r="G55" s="81"/>
      <c r="H55" s="82"/>
      <c r="I55" s="82"/>
      <c r="J55" s="82"/>
      <c r="K55" s="82"/>
      <c r="L55" s="82"/>
      <c r="M55" s="82"/>
      <c r="N55" s="83"/>
      <c r="O55" s="83"/>
      <c r="P55" s="83"/>
      <c r="Q55" s="81"/>
    </row>
  </sheetData>
  <mergeCells count="3">
    <mergeCell ref="I12:J12"/>
    <mergeCell ref="I11:J11"/>
    <mergeCell ref="A6:D6"/>
  </mergeCells>
  <phoneticPr fontId="0" type="noConversion"/>
  <hyperlinks>
    <hyperlink ref="A6" r:id="rId1" display="www.adb.org\ar2012"/>
  </hyperlinks>
  <printOptions horizontalCentered="1"/>
  <pageMargins left="0.25" right="0.25" top="0.5" bottom="0.25" header="0.511811023622047" footer="0.5"/>
  <pageSetup scale="91" fitToWidth="0" orientation="landscape" horizontalDpi="300" verticalDpi="3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opLeftCell="A30" workbookViewId="0">
      <selection activeCell="N48" sqref="N48"/>
    </sheetView>
  </sheetViews>
  <sheetFormatPr baseColWidth="10" defaultColWidth="9.1640625" defaultRowHeight="11.25" customHeight="1" x14ac:dyDescent="0"/>
  <cols>
    <col min="1" max="1" width="7.5" style="1" customWidth="1"/>
    <col min="2" max="2" width="8.33203125" style="8" hidden="1" customWidth="1"/>
    <col min="3" max="3" width="1.33203125" style="8" hidden="1" customWidth="1"/>
    <col min="4" max="4" width="7.33203125" style="11" bestFit="1" customWidth="1"/>
    <col min="5" max="5" width="2.33203125" style="11" customWidth="1"/>
    <col min="6" max="6" width="9.1640625" style="11"/>
    <col min="7" max="7" width="2.5" style="11" customWidth="1"/>
    <col min="8" max="8" width="7.1640625" style="10" customWidth="1"/>
    <col min="9" max="9" width="11.1640625" style="10" customWidth="1"/>
    <col min="10" max="10" width="7.6640625" style="10" customWidth="1"/>
    <col min="11" max="12" width="9.1640625" style="10" bestFit="1"/>
    <col min="13" max="13" width="6.83203125" style="10" bestFit="1" customWidth="1"/>
    <col min="14" max="14" width="6.83203125" style="10" customWidth="1"/>
    <col min="15" max="15" width="9" style="11" customWidth="1"/>
    <col min="16" max="16" width="9" style="10" bestFit="1" customWidth="1"/>
    <col min="17" max="16384" width="9.1640625" style="1"/>
  </cols>
  <sheetData>
    <row r="1" spans="1:16" ht="11.25" customHeight="1">
      <c r="A1" s="2" t="s">
        <v>26</v>
      </c>
      <c r="B1" s="6"/>
      <c r="C1" s="6"/>
      <c r="D1" s="9"/>
      <c r="E1" s="9"/>
      <c r="F1" s="9"/>
      <c r="G1" s="9"/>
    </row>
    <row r="2" spans="1:16" ht="11.25" customHeight="1">
      <c r="A2" s="2" t="s">
        <v>32</v>
      </c>
      <c r="B2" s="6"/>
      <c r="C2" s="6"/>
      <c r="D2" s="9"/>
      <c r="E2" s="9"/>
      <c r="F2" s="9"/>
      <c r="G2" s="9"/>
    </row>
    <row r="3" spans="1:16" ht="11.25" customHeight="1">
      <c r="A3" s="3" t="s">
        <v>0</v>
      </c>
      <c r="B3" s="7"/>
      <c r="C3" s="7"/>
    </row>
    <row r="5" spans="1:16" ht="11.25" customHeight="1">
      <c r="A5" s="18"/>
      <c r="B5" s="19"/>
      <c r="C5" s="19"/>
      <c r="D5" s="12"/>
      <c r="E5" s="12"/>
      <c r="F5" s="12"/>
      <c r="G5" s="12"/>
      <c r="H5" s="12" t="s">
        <v>1</v>
      </c>
      <c r="I5" s="114" t="s">
        <v>23</v>
      </c>
      <c r="J5" s="114"/>
      <c r="K5" s="12" t="s">
        <v>21</v>
      </c>
      <c r="L5" s="12" t="s">
        <v>14</v>
      </c>
      <c r="M5" s="12" t="s">
        <v>27</v>
      </c>
      <c r="N5" s="12"/>
      <c r="O5" s="20" t="s">
        <v>1</v>
      </c>
      <c r="P5" s="12" t="s">
        <v>11</v>
      </c>
    </row>
    <row r="6" spans="1:16" ht="11.25" customHeight="1">
      <c r="A6" s="21"/>
      <c r="B6" s="22" t="s">
        <v>2</v>
      </c>
      <c r="C6" s="22"/>
      <c r="D6" s="23"/>
      <c r="E6" s="23"/>
      <c r="F6" s="24" t="s">
        <v>3</v>
      </c>
      <c r="G6" s="24"/>
      <c r="H6" s="25" t="s">
        <v>9</v>
      </c>
      <c r="I6" s="113" t="s">
        <v>24</v>
      </c>
      <c r="J6" s="113"/>
      <c r="K6" s="23" t="s">
        <v>22</v>
      </c>
      <c r="L6" s="23" t="s">
        <v>15</v>
      </c>
      <c r="M6" s="24" t="s">
        <v>28</v>
      </c>
      <c r="N6" s="24"/>
      <c r="O6" s="26" t="s">
        <v>9</v>
      </c>
      <c r="P6" s="13" t="s">
        <v>12</v>
      </c>
    </row>
    <row r="7" spans="1:16" ht="11.25" customHeight="1">
      <c r="A7" s="27" t="s">
        <v>4</v>
      </c>
      <c r="B7" s="28" t="s">
        <v>18</v>
      </c>
      <c r="C7" s="28"/>
      <c r="D7" s="14" t="s">
        <v>5</v>
      </c>
      <c r="E7" s="14"/>
      <c r="F7" s="29" t="s">
        <v>19</v>
      </c>
      <c r="G7" s="29"/>
      <c r="H7" s="14" t="s">
        <v>6</v>
      </c>
      <c r="I7" s="30" t="s">
        <v>25</v>
      </c>
      <c r="J7" s="30"/>
      <c r="K7" s="14" t="s">
        <v>16</v>
      </c>
      <c r="L7" s="14" t="s">
        <v>16</v>
      </c>
      <c r="M7" s="30" t="s">
        <v>29</v>
      </c>
      <c r="N7" s="30"/>
      <c r="O7" s="31" t="s">
        <v>20</v>
      </c>
      <c r="P7" s="14" t="s">
        <v>13</v>
      </c>
    </row>
    <row r="8" spans="1:16" ht="11.25" customHeight="1">
      <c r="D8" s="10"/>
      <c r="E8" s="10"/>
      <c r="F8" s="10"/>
      <c r="G8" s="10"/>
    </row>
    <row r="9" spans="1:16" ht="11.25" hidden="1" customHeight="1">
      <c r="A9" s="4">
        <v>1983</v>
      </c>
      <c r="B9" s="8">
        <v>2</v>
      </c>
      <c r="D9" s="34">
        <v>0</v>
      </c>
      <c r="E9" s="10"/>
      <c r="F9" s="10">
        <v>2.96</v>
      </c>
      <c r="G9" s="10"/>
      <c r="H9" s="34">
        <f t="shared" ref="H9:H31" si="0">D9+F9</f>
        <v>2.96</v>
      </c>
      <c r="I9" s="34">
        <v>0</v>
      </c>
      <c r="K9" s="34">
        <v>0</v>
      </c>
      <c r="L9" s="34">
        <v>0</v>
      </c>
      <c r="M9" s="34">
        <v>0</v>
      </c>
      <c r="N9" s="34"/>
      <c r="O9" s="10">
        <f t="shared" ref="O9:O31" si="1">H9+I9+L9+K9+M9</f>
        <v>2.96</v>
      </c>
      <c r="P9" s="10">
        <v>36</v>
      </c>
    </row>
    <row r="10" spans="1:16" ht="11.25" hidden="1" customHeight="1">
      <c r="A10" s="4">
        <v>1984</v>
      </c>
      <c r="B10" s="8">
        <v>1</v>
      </c>
      <c r="D10" s="34">
        <v>0</v>
      </c>
      <c r="E10" s="10"/>
      <c r="F10" s="10">
        <v>0.42</v>
      </c>
      <c r="G10" s="10"/>
      <c r="H10" s="34">
        <f t="shared" si="0"/>
        <v>0.42</v>
      </c>
      <c r="I10" s="34">
        <v>0</v>
      </c>
      <c r="K10" s="34">
        <v>0</v>
      </c>
      <c r="L10" s="34">
        <v>0</v>
      </c>
      <c r="M10" s="34">
        <v>0</v>
      </c>
      <c r="N10" s="34"/>
      <c r="O10" s="10">
        <f t="shared" si="1"/>
        <v>0.42</v>
      </c>
      <c r="P10" s="10">
        <v>2.8</v>
      </c>
    </row>
    <row r="11" spans="1:16" ht="11.25" hidden="1" customHeight="1">
      <c r="A11" s="4">
        <v>1985</v>
      </c>
      <c r="B11" s="8">
        <v>5</v>
      </c>
      <c r="D11" s="34">
        <v>0</v>
      </c>
      <c r="E11" s="10"/>
      <c r="F11" s="10">
        <v>3.4</v>
      </c>
      <c r="G11" s="10"/>
      <c r="H11" s="34">
        <f t="shared" si="0"/>
        <v>3.4</v>
      </c>
      <c r="I11" s="34">
        <v>0</v>
      </c>
      <c r="K11" s="34">
        <v>0</v>
      </c>
      <c r="L11" s="34">
        <v>0</v>
      </c>
      <c r="M11" s="34">
        <v>0</v>
      </c>
      <c r="N11" s="34"/>
      <c r="O11" s="10">
        <f t="shared" si="1"/>
        <v>3.4</v>
      </c>
      <c r="P11" s="10">
        <v>39.68</v>
      </c>
    </row>
    <row r="12" spans="1:16" ht="11.25" hidden="1" customHeight="1">
      <c r="A12" s="4">
        <v>1986</v>
      </c>
      <c r="B12" s="8">
        <v>5</v>
      </c>
      <c r="D12" s="34">
        <v>6.46</v>
      </c>
      <c r="E12" s="10"/>
      <c r="F12" s="10">
        <v>6.0129999999999999</v>
      </c>
      <c r="G12" s="10"/>
      <c r="H12" s="34">
        <f t="shared" si="0"/>
        <v>12.472999999999999</v>
      </c>
      <c r="I12" s="34">
        <v>0</v>
      </c>
      <c r="K12" s="34">
        <v>0</v>
      </c>
      <c r="L12" s="34">
        <v>0</v>
      </c>
      <c r="M12" s="34">
        <v>0</v>
      </c>
      <c r="N12" s="34"/>
      <c r="O12" s="10">
        <f t="shared" si="1"/>
        <v>12.472999999999999</v>
      </c>
      <c r="P12" s="10">
        <v>42.716999999999999</v>
      </c>
    </row>
    <row r="13" spans="1:16" ht="11.25" hidden="1" customHeight="1">
      <c r="A13" s="4">
        <v>1987</v>
      </c>
      <c r="B13" s="8">
        <v>8</v>
      </c>
      <c r="D13" s="34">
        <f>18+2.5</f>
        <v>20.5</v>
      </c>
      <c r="E13" s="10"/>
      <c r="F13" s="10">
        <f>7+15.605+5</f>
        <v>27.605</v>
      </c>
      <c r="G13" s="10"/>
      <c r="H13" s="34">
        <f t="shared" si="0"/>
        <v>48.105000000000004</v>
      </c>
      <c r="I13" s="35">
        <v>5</v>
      </c>
      <c r="J13" s="15"/>
      <c r="K13" s="34">
        <v>0</v>
      </c>
      <c r="L13" s="34">
        <v>0</v>
      </c>
      <c r="M13" s="34">
        <v>0</v>
      </c>
      <c r="N13" s="34"/>
      <c r="O13" s="10">
        <f t="shared" si="1"/>
        <v>53.105000000000004</v>
      </c>
      <c r="P13" s="10">
        <v>524.34</v>
      </c>
    </row>
    <row r="14" spans="1:16" ht="11.25" hidden="1" customHeight="1">
      <c r="A14" s="4">
        <v>1988</v>
      </c>
      <c r="B14" s="8">
        <v>12</v>
      </c>
      <c r="D14" s="34">
        <v>58</v>
      </c>
      <c r="E14" s="10"/>
      <c r="F14" s="10">
        <f>8+7.67+20</f>
        <v>35.67</v>
      </c>
      <c r="G14" s="10"/>
      <c r="H14" s="34">
        <f t="shared" si="0"/>
        <v>93.67</v>
      </c>
      <c r="I14" s="34">
        <v>0</v>
      </c>
      <c r="K14" s="34">
        <v>0</v>
      </c>
      <c r="L14" s="34">
        <v>0</v>
      </c>
      <c r="M14" s="34">
        <v>0</v>
      </c>
      <c r="N14" s="34"/>
      <c r="O14" s="10">
        <f t="shared" si="1"/>
        <v>93.67</v>
      </c>
      <c r="P14" s="10">
        <v>524.24</v>
      </c>
    </row>
    <row r="15" spans="1:16" ht="11.25" hidden="1" customHeight="1">
      <c r="A15" s="4">
        <v>1989</v>
      </c>
      <c r="B15" s="8">
        <v>16</v>
      </c>
      <c r="D15" s="34">
        <f>89.7+6</f>
        <v>95.7</v>
      </c>
      <c r="E15" s="10"/>
      <c r="F15" s="10">
        <f>2+54.39+11.2</f>
        <v>67.59</v>
      </c>
      <c r="G15" s="10"/>
      <c r="H15" s="34">
        <f t="shared" si="0"/>
        <v>163.29000000000002</v>
      </c>
      <c r="I15" s="34">
        <v>51.1</v>
      </c>
      <c r="K15" s="34">
        <v>0</v>
      </c>
      <c r="L15" s="34">
        <v>0</v>
      </c>
      <c r="M15" s="34">
        <v>0</v>
      </c>
      <c r="N15" s="34"/>
      <c r="O15" s="10">
        <f t="shared" si="1"/>
        <v>214.39000000000001</v>
      </c>
      <c r="P15" s="10">
        <v>1178.55</v>
      </c>
    </row>
    <row r="16" spans="1:16" ht="11.25" hidden="1" customHeight="1">
      <c r="A16" s="4">
        <v>1990</v>
      </c>
      <c r="B16" s="8">
        <v>17</v>
      </c>
      <c r="D16" s="34">
        <f>72.85+6</f>
        <v>78.849999999999994</v>
      </c>
      <c r="E16" s="10"/>
      <c r="F16" s="10">
        <f>8+23.623+4.32</f>
        <v>35.942999999999998</v>
      </c>
      <c r="G16" s="10"/>
      <c r="H16" s="34">
        <f t="shared" si="0"/>
        <v>114.79299999999999</v>
      </c>
      <c r="I16" s="34">
        <v>24</v>
      </c>
      <c r="K16" s="34">
        <v>0</v>
      </c>
      <c r="L16" s="34">
        <v>0</v>
      </c>
      <c r="M16" s="34">
        <v>0</v>
      </c>
      <c r="N16" s="34"/>
      <c r="O16" s="10">
        <f t="shared" si="1"/>
        <v>138.79300000000001</v>
      </c>
      <c r="P16" s="10">
        <v>2051.63</v>
      </c>
    </row>
    <row r="17" spans="1:16" ht="11.25" hidden="1" customHeight="1">
      <c r="A17" s="4">
        <v>1991</v>
      </c>
      <c r="B17" s="8">
        <v>10</v>
      </c>
      <c r="D17" s="34">
        <f>156.8</f>
        <v>156.80000000000001</v>
      </c>
      <c r="E17" s="10"/>
      <c r="F17" s="10">
        <f>20.518</f>
        <v>20.518000000000001</v>
      </c>
      <c r="G17" s="10"/>
      <c r="H17" s="34">
        <f t="shared" si="0"/>
        <v>177.31800000000001</v>
      </c>
      <c r="I17" s="34">
        <v>0</v>
      </c>
      <c r="K17" s="34">
        <v>0</v>
      </c>
      <c r="L17" s="34">
        <v>0</v>
      </c>
      <c r="M17" s="34">
        <v>0</v>
      </c>
      <c r="N17" s="34"/>
      <c r="O17" s="10">
        <f t="shared" si="1"/>
        <v>177.31800000000001</v>
      </c>
      <c r="P17" s="10">
        <v>1330.07</v>
      </c>
    </row>
    <row r="18" spans="1:16" ht="11.25" hidden="1" customHeight="1">
      <c r="A18" s="4">
        <v>1992</v>
      </c>
      <c r="B18" s="8">
        <v>4</v>
      </c>
      <c r="D18" s="34">
        <v>50</v>
      </c>
      <c r="E18" s="10"/>
      <c r="F18" s="10">
        <v>5.42</v>
      </c>
      <c r="G18" s="10"/>
      <c r="H18" s="34">
        <f t="shared" si="0"/>
        <v>55.42</v>
      </c>
      <c r="I18" s="34">
        <v>81.5</v>
      </c>
      <c r="K18" s="34">
        <v>0</v>
      </c>
      <c r="L18" s="34">
        <v>0</v>
      </c>
      <c r="M18" s="34">
        <v>0</v>
      </c>
      <c r="N18" s="34"/>
      <c r="O18" s="10">
        <f t="shared" si="1"/>
        <v>136.92000000000002</v>
      </c>
      <c r="P18" s="10">
        <v>409.39</v>
      </c>
    </row>
    <row r="19" spans="1:16" ht="11.25" hidden="1" customHeight="1">
      <c r="A19" s="4">
        <v>1993</v>
      </c>
      <c r="B19" s="8">
        <v>9</v>
      </c>
      <c r="D19" s="34">
        <v>182.1</v>
      </c>
      <c r="E19" s="10"/>
      <c r="F19" s="10">
        <v>20.7</v>
      </c>
      <c r="G19" s="10"/>
      <c r="H19" s="34">
        <f t="shared" si="0"/>
        <v>202.79999999999998</v>
      </c>
      <c r="I19" s="34">
        <v>19.3</v>
      </c>
      <c r="K19" s="34">
        <v>0</v>
      </c>
      <c r="L19" s="34">
        <v>0</v>
      </c>
      <c r="M19" s="34">
        <v>0</v>
      </c>
      <c r="N19" s="34"/>
      <c r="O19" s="10">
        <f t="shared" si="1"/>
        <v>222.1</v>
      </c>
      <c r="P19" s="10">
        <v>1513.7</v>
      </c>
    </row>
    <row r="20" spans="1:16" ht="11.25" hidden="1" customHeight="1">
      <c r="A20" s="4">
        <v>1994</v>
      </c>
      <c r="B20" s="8">
        <v>9</v>
      </c>
      <c r="D20" s="34">
        <v>0</v>
      </c>
      <c r="E20" s="10"/>
      <c r="F20" s="10">
        <v>48.7</v>
      </c>
      <c r="G20" s="10"/>
      <c r="H20" s="34">
        <f t="shared" si="0"/>
        <v>48.7</v>
      </c>
      <c r="I20" s="34">
        <v>0</v>
      </c>
      <c r="K20" s="34">
        <v>0</v>
      </c>
      <c r="L20" s="34">
        <v>0</v>
      </c>
      <c r="M20" s="34">
        <v>0</v>
      </c>
      <c r="N20" s="34"/>
      <c r="O20" s="10">
        <f t="shared" si="1"/>
        <v>48.7</v>
      </c>
      <c r="P20" s="10">
        <v>919.2</v>
      </c>
    </row>
    <row r="21" spans="1:16" ht="11.25" hidden="1" customHeight="1">
      <c r="A21" s="4">
        <v>1995</v>
      </c>
      <c r="B21" s="8">
        <v>8</v>
      </c>
      <c r="D21" s="34">
        <f>86.5-18.5</f>
        <v>68</v>
      </c>
      <c r="E21" s="10"/>
      <c r="F21" s="10">
        <v>99.414000000000001</v>
      </c>
      <c r="G21" s="10"/>
      <c r="H21" s="34">
        <f t="shared" si="0"/>
        <v>167.41399999999999</v>
      </c>
      <c r="I21" s="34">
        <v>5.83</v>
      </c>
      <c r="K21" s="34">
        <v>0</v>
      </c>
      <c r="L21" s="34">
        <v>0</v>
      </c>
      <c r="M21" s="34">
        <v>0</v>
      </c>
      <c r="N21" s="34"/>
      <c r="O21" s="10">
        <f t="shared" si="1"/>
        <v>173.244</v>
      </c>
      <c r="P21" s="10">
        <v>1050.3219999999999</v>
      </c>
    </row>
    <row r="22" spans="1:16" ht="11.25" hidden="1" customHeight="1">
      <c r="A22" s="4">
        <v>1996</v>
      </c>
      <c r="B22" s="8">
        <v>8</v>
      </c>
      <c r="D22" s="34">
        <v>98.5</v>
      </c>
      <c r="E22" s="10"/>
      <c r="F22" s="10">
        <v>80.150000000000006</v>
      </c>
      <c r="G22" s="10"/>
      <c r="H22" s="34">
        <f t="shared" si="0"/>
        <v>178.65</v>
      </c>
      <c r="I22" s="34">
        <v>91.5</v>
      </c>
      <c r="K22" s="34">
        <v>0</v>
      </c>
      <c r="L22" s="34">
        <v>0</v>
      </c>
      <c r="M22" s="34">
        <v>0</v>
      </c>
      <c r="N22" s="34"/>
      <c r="O22" s="10">
        <f t="shared" si="1"/>
        <v>270.14999999999998</v>
      </c>
      <c r="P22" s="10">
        <v>1788.77</v>
      </c>
    </row>
    <row r="23" spans="1:16" ht="11.25" hidden="1" customHeight="1">
      <c r="A23" s="4">
        <v>1997</v>
      </c>
      <c r="B23" s="8">
        <f>6-1</f>
        <v>5</v>
      </c>
      <c r="D23" s="34">
        <f>45</f>
        <v>45</v>
      </c>
      <c r="E23" s="10"/>
      <c r="F23" s="10">
        <f>59.5-10</f>
        <v>49.5</v>
      </c>
      <c r="G23" s="10"/>
      <c r="H23" s="34">
        <f t="shared" si="0"/>
        <v>94.5</v>
      </c>
      <c r="I23" s="34">
        <v>0</v>
      </c>
      <c r="K23" s="34">
        <v>50</v>
      </c>
      <c r="L23" s="34">
        <v>0</v>
      </c>
      <c r="M23" s="34">
        <v>0</v>
      </c>
      <c r="N23" s="34"/>
      <c r="O23" s="10">
        <f t="shared" si="1"/>
        <v>144.5</v>
      </c>
      <c r="P23" s="10">
        <v>1239.69</v>
      </c>
    </row>
    <row r="24" spans="1:16" ht="11.25" hidden="1" customHeight="1">
      <c r="A24" s="4">
        <v>1998</v>
      </c>
      <c r="B24" s="8">
        <v>6</v>
      </c>
      <c r="D24" s="34">
        <v>136.12</v>
      </c>
      <c r="E24" s="10"/>
      <c r="F24" s="10">
        <f>62.44-20-3</f>
        <v>39.44</v>
      </c>
      <c r="G24" s="10"/>
      <c r="H24" s="34">
        <f t="shared" si="0"/>
        <v>175.56</v>
      </c>
      <c r="I24" s="34">
        <v>151.077</v>
      </c>
      <c r="K24" s="34">
        <v>65</v>
      </c>
      <c r="L24" s="34">
        <v>0</v>
      </c>
      <c r="M24" s="34">
        <v>0</v>
      </c>
      <c r="N24" s="34"/>
      <c r="O24" s="10">
        <f t="shared" si="1"/>
        <v>391.637</v>
      </c>
      <c r="P24" s="10">
        <v>1152.7</v>
      </c>
    </row>
    <row r="25" spans="1:16" ht="11.25" hidden="1" customHeight="1">
      <c r="A25" s="4">
        <v>1999</v>
      </c>
      <c r="B25" s="8">
        <v>3</v>
      </c>
      <c r="D25" s="34">
        <v>101.5</v>
      </c>
      <c r="E25" s="10"/>
      <c r="F25" s="10">
        <v>7.4</v>
      </c>
      <c r="G25" s="10"/>
      <c r="H25" s="34">
        <f t="shared" si="0"/>
        <v>108.9</v>
      </c>
      <c r="I25" s="34">
        <f>181.5-120</f>
        <v>61.5</v>
      </c>
      <c r="K25" s="34">
        <v>0</v>
      </c>
      <c r="L25" s="34">
        <v>0</v>
      </c>
      <c r="M25" s="34">
        <v>0</v>
      </c>
      <c r="N25" s="34"/>
      <c r="O25" s="10">
        <f t="shared" si="1"/>
        <v>170.4</v>
      </c>
      <c r="P25" s="10">
        <f>1412.5-564.8</f>
        <v>847.7</v>
      </c>
    </row>
    <row r="26" spans="1:16" ht="11.25" hidden="1" customHeight="1">
      <c r="A26" s="4">
        <v>2000</v>
      </c>
      <c r="B26" s="8">
        <v>11</v>
      </c>
      <c r="D26" s="34">
        <v>152</v>
      </c>
      <c r="E26" s="16"/>
      <c r="F26" s="10">
        <v>77.650000000000006</v>
      </c>
      <c r="G26" s="10"/>
      <c r="H26" s="34">
        <f t="shared" si="0"/>
        <v>229.65</v>
      </c>
      <c r="I26" s="34">
        <v>45</v>
      </c>
      <c r="K26" s="34">
        <v>0</v>
      </c>
      <c r="L26" s="34">
        <v>101</v>
      </c>
      <c r="M26" s="34">
        <v>0</v>
      </c>
      <c r="N26" s="34"/>
      <c r="O26" s="10">
        <f t="shared" si="1"/>
        <v>375.65</v>
      </c>
      <c r="P26" s="10">
        <v>1629.84</v>
      </c>
    </row>
    <row r="27" spans="1:16" ht="11.25" customHeight="1">
      <c r="A27" s="4">
        <v>2001</v>
      </c>
      <c r="B27" s="8">
        <v>6</v>
      </c>
      <c r="D27" s="34">
        <v>37.5</v>
      </c>
      <c r="E27" s="10"/>
      <c r="F27" s="10">
        <v>30.36</v>
      </c>
      <c r="G27" s="10"/>
      <c r="H27" s="34">
        <f t="shared" si="0"/>
        <v>67.86</v>
      </c>
      <c r="I27" s="34">
        <v>0</v>
      </c>
      <c r="K27" s="34">
        <v>0</v>
      </c>
      <c r="L27" s="34">
        <v>0</v>
      </c>
      <c r="M27" s="34">
        <v>0</v>
      </c>
      <c r="N27" s="4">
        <v>2001</v>
      </c>
      <c r="O27" s="10">
        <f t="shared" si="1"/>
        <v>67.86</v>
      </c>
      <c r="P27" s="10">
        <v>648</v>
      </c>
    </row>
    <row r="28" spans="1:16" ht="11.25" customHeight="1">
      <c r="A28" s="4">
        <v>2002</v>
      </c>
      <c r="B28" s="8">
        <v>7</v>
      </c>
      <c r="D28" s="34">
        <v>110</v>
      </c>
      <c r="E28" s="10"/>
      <c r="F28" s="10">
        <v>35.526000000000003</v>
      </c>
      <c r="G28" s="10"/>
      <c r="H28" s="34">
        <f t="shared" si="0"/>
        <v>145.52600000000001</v>
      </c>
      <c r="I28" s="34">
        <v>0</v>
      </c>
      <c r="K28" s="34">
        <v>0</v>
      </c>
      <c r="L28" s="34">
        <v>60</v>
      </c>
      <c r="M28" s="34">
        <v>0</v>
      </c>
      <c r="N28" s="4">
        <v>2002</v>
      </c>
      <c r="O28" s="10">
        <f t="shared" si="1"/>
        <v>205.52600000000001</v>
      </c>
      <c r="P28" s="10">
        <v>1176.5999999999999</v>
      </c>
    </row>
    <row r="29" spans="1:16" ht="11.25" customHeight="1">
      <c r="A29" s="4">
        <v>2003</v>
      </c>
      <c r="B29" s="8">
        <v>7</v>
      </c>
      <c r="D29" s="34">
        <f>187-20</f>
        <v>167</v>
      </c>
      <c r="E29" s="10"/>
      <c r="F29" s="10">
        <f>35+0.65</f>
        <v>35.65</v>
      </c>
      <c r="G29" s="10"/>
      <c r="H29" s="34">
        <f t="shared" si="0"/>
        <v>202.65</v>
      </c>
      <c r="I29" s="34">
        <v>100</v>
      </c>
      <c r="K29" s="34">
        <f>65+105</f>
        <v>170</v>
      </c>
      <c r="L29" s="34">
        <v>70</v>
      </c>
      <c r="M29" s="34">
        <v>0</v>
      </c>
      <c r="N29" s="4">
        <v>2003</v>
      </c>
      <c r="O29" s="10">
        <f t="shared" si="1"/>
        <v>542.65</v>
      </c>
      <c r="P29" s="10">
        <f>2320-20</f>
        <v>2300</v>
      </c>
    </row>
    <row r="30" spans="1:16" ht="11.25" customHeight="1">
      <c r="A30" s="4">
        <v>2004</v>
      </c>
      <c r="B30" s="8">
        <f>16-1</f>
        <v>15</v>
      </c>
      <c r="C30" s="36" t="s">
        <v>30</v>
      </c>
      <c r="D30" s="34">
        <f>313.9+33-54.4</f>
        <v>292.5</v>
      </c>
      <c r="E30" s="10"/>
      <c r="F30" s="10">
        <f>185-20.6</f>
        <v>164.4</v>
      </c>
      <c r="G30" s="10"/>
      <c r="H30" s="34">
        <f t="shared" si="0"/>
        <v>456.9</v>
      </c>
      <c r="I30" s="34">
        <v>0</v>
      </c>
      <c r="K30" s="34">
        <v>0</v>
      </c>
      <c r="L30" s="34">
        <v>10</v>
      </c>
      <c r="M30" s="34">
        <v>200</v>
      </c>
      <c r="N30" s="4">
        <v>2004</v>
      </c>
      <c r="O30" s="10">
        <f t="shared" si="1"/>
        <v>666.9</v>
      </c>
      <c r="P30" s="10">
        <f>2701.7+250-724</f>
        <v>2227.6999999999998</v>
      </c>
    </row>
    <row r="31" spans="1:16" ht="11.25" customHeight="1">
      <c r="A31" s="4">
        <v>2005</v>
      </c>
      <c r="B31" s="8">
        <v>17</v>
      </c>
      <c r="C31" s="36" t="s">
        <v>33</v>
      </c>
      <c r="D31" s="34">
        <f>536+0.017</f>
        <v>536.01700000000005</v>
      </c>
      <c r="E31" s="10"/>
      <c r="F31" s="10">
        <v>217.1</v>
      </c>
      <c r="G31" s="1"/>
      <c r="H31" s="34">
        <f t="shared" si="0"/>
        <v>753.11700000000008</v>
      </c>
      <c r="I31" s="34">
        <v>0</v>
      </c>
      <c r="K31" s="34">
        <v>18.399999999999999</v>
      </c>
      <c r="L31" s="34">
        <v>50</v>
      </c>
      <c r="M31" s="34">
        <v>0</v>
      </c>
      <c r="N31" s="4">
        <v>2005</v>
      </c>
      <c r="O31" s="10">
        <f t="shared" si="1"/>
        <v>821.51700000000005</v>
      </c>
      <c r="P31" s="10">
        <v>8941.6200000000008</v>
      </c>
    </row>
    <row r="32" spans="1:16" ht="11.25" customHeight="1">
      <c r="A32" s="4"/>
      <c r="D32" s="10"/>
      <c r="E32" s="10"/>
      <c r="F32" s="10"/>
      <c r="G32" s="10"/>
      <c r="O32" s="10"/>
    </row>
    <row r="33" spans="1:16" ht="11.25" customHeight="1">
      <c r="A33" s="32" t="s">
        <v>17</v>
      </c>
      <c r="B33" s="37">
        <f>SUM(B9:B31)</f>
        <v>191</v>
      </c>
      <c r="C33" s="37"/>
      <c r="D33" s="33">
        <f>SUM(D9:D31)</f>
        <v>2392.547</v>
      </c>
      <c r="E33" s="33"/>
      <c r="F33" s="33">
        <f>SUM(F9:F31)</f>
        <v>1111.5289999999998</v>
      </c>
      <c r="G33" s="33"/>
      <c r="H33" s="33">
        <f>SUM(H9:H31)</f>
        <v>3504.0760000000005</v>
      </c>
      <c r="I33" s="33">
        <f>SUM(I9:I31)</f>
        <v>635.80700000000002</v>
      </c>
      <c r="J33" s="33"/>
      <c r="K33" s="33">
        <f>SUM(K9:K31)</f>
        <v>303.39999999999998</v>
      </c>
      <c r="L33" s="33">
        <f>SUM(L9:L31)</f>
        <v>291</v>
      </c>
      <c r="M33" s="33">
        <f>SUM(M9:M31)</f>
        <v>200</v>
      </c>
      <c r="N33" s="33"/>
      <c r="O33" s="33">
        <f>SUM(O9:O31)</f>
        <v>4934.2830000000004</v>
      </c>
      <c r="P33" s="33">
        <f>SUM(P9:P32)</f>
        <v>31575.259000000005</v>
      </c>
    </row>
    <row r="34" spans="1:16" ht="11.25" hidden="1" customHeight="1">
      <c r="A34" s="5" t="s">
        <v>10</v>
      </c>
      <c r="B34" s="38"/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6" ht="11.25" hidden="1" customHeight="1">
      <c r="A35" s="1" t="s">
        <v>7</v>
      </c>
    </row>
    <row r="36" spans="1:16" ht="11.25" hidden="1" customHeight="1">
      <c r="A36" s="1" t="s">
        <v>8</v>
      </c>
    </row>
    <row r="37" spans="1:16" ht="11.25" hidden="1" customHeight="1">
      <c r="A37" s="1" t="s">
        <v>31</v>
      </c>
    </row>
    <row r="38" spans="1:16" ht="11.25" hidden="1" customHeight="1">
      <c r="A38" s="1" t="s">
        <v>34</v>
      </c>
    </row>
    <row r="39" spans="1:16" ht="11.25" hidden="1" customHeight="1"/>
    <row r="40" spans="1:16" ht="11.25" hidden="1" customHeight="1"/>
  </sheetData>
  <mergeCells count="2">
    <mergeCell ref="I6:J6"/>
    <mergeCell ref="I5:J5"/>
  </mergeCells>
  <phoneticPr fontId="0" type="noConversion"/>
  <printOptions horizontalCentered="1"/>
  <pageMargins left="0.5" right="0.5" top="1.33858267716535" bottom="0.94488188976377996" header="0.511811023622047" footer="0.5"/>
  <pageSetup scale="90" orientation="portrait" horizontalDpi="300" verticalDpi="300"/>
  <headerFooter>
    <oddFooter>&amp;L&amp;8T11-1205.xls_x000D_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stat-annex12</vt:lpstr>
      <vt:lpstr>T11-1205chartdetails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</dc:title>
  <dc:subject>ADB Annual Report</dc:subject>
  <dc:creator>Asian Development Bank</dc:creator>
  <cp:keywords>approvals, nonsovereign, private sector</cp:keywords>
  <cp:lastModifiedBy>Angelo Jacinto</cp:lastModifiedBy>
  <cp:lastPrinted>2013-04-02T08:31:06Z</cp:lastPrinted>
  <dcterms:created xsi:type="dcterms:W3CDTF">1999-01-24T03:13:28Z</dcterms:created>
  <dcterms:modified xsi:type="dcterms:W3CDTF">2013-04-16T08:45:55Z</dcterms:modified>
</cp:coreProperties>
</file>